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'W2'!$A$65:$D$86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'Définitions'!$B$1:$D$79</definedName>
    <definedName name="_xlnm.Print_Area" localSheetId="3">'Diagramme'!$B$1:$W$37</definedName>
    <definedName name="_xlnm.Print_Area" localSheetId="4">'W1'!$C$1:$BC$57</definedName>
    <definedName name="_xlnm.Print_Area" localSheetId="5">'W2'!$C$1:$BB$87</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'Définitions'!$16:$18</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0"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7"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9"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1"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2" authorId="2">
      <text>
        <r>
          <rPr>
            <b/>
            <sz val="8"/>
            <rFont val="Tahoma"/>
            <family val="2"/>
          </rPr>
          <t>Eau dessalée:</t>
        </r>
        <r>
          <rPr>
            <sz val="8"/>
            <rFont val="Tahoma"/>
            <family val="2"/>
          </rPr>
          <t xml:space="preserve">
Volume total d’eau obtenu par dessalement (élimination du sel) de l’eau de mer et des eaux saumâtres.</t>
        </r>
      </text>
    </comment>
    <comment ref="D23"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4"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5"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6"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7"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8"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0"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1"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2" authorId="2">
      <text>
        <r>
          <rPr>
            <b/>
            <sz val="8"/>
            <rFont val="Tahoma"/>
            <family val="2"/>
          </rPr>
          <t>Irrigation agricole:</t>
        </r>
        <r>
          <rPr>
            <sz val="8"/>
            <rFont val="Tahoma"/>
            <family val="2"/>
          </rPr>
          <t xml:space="preserve">
Arrosement artificiel du sol pour faciliter la croissance des cultures et des herbages.</t>
        </r>
      </text>
    </comment>
    <comment ref="D34"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8"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5"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6"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18"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0"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3"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5"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7"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<sst xmlns="http://schemas.openxmlformats.org/spreadsheetml/2006/main" count="1518" uniqueCount="690">
  <si>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</si>
  <si>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</si>
  <si>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</si>
  <si>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</si>
  <si>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</si>
  <si>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</si>
  <si>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</si>
  <si>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</si>
  <si>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</si>
  <si>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</si>
  <si>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</si>
  <si>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</si>
  <si>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</si>
  <si>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</si>
  <si>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</si>
  <si>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</si>
  <si>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</si>
  <si>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</si>
  <si>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</si>
  <si>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</si>
  <si>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</si>
  <si>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</si>
  <si>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</si>
  <si>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</si>
  <si>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</si>
  <si>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</si>
  <si>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</si>
  <si>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</si>
  <si>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</si>
  <si>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</si>
  <si>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</si>
  <si>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</si>
  <si>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</si>
  <si>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</si>
  <si>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</si>
  <si>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</si>
  <si>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</si>
  <si>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</si>
  <si>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</si>
  <si>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</si>
  <si>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</si>
  <si>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</si>
  <si>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</si>
  <si>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</si>
  <si>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</si>
  <si>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</si>
  <si>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</si>
  <si>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</si>
  <si>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</si>
  <si>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</si>
  <si>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</si>
  <si>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</si>
  <si>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</si>
  <si>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</si>
  <si>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</si>
  <si>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</si>
  <si>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</si>
  <si>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</si>
  <si>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</si>
  <si>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</si>
  <si>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</si>
  <si>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</si>
  <si>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</si>
  <si>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</si>
  <si>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</si>
  <si>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</si>
  <si>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</si>
  <si>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</si>
  <si>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</si>
  <si>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</si>
  <si>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</si>
  <si>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</si>
  <si>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</si>
  <si>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</si>
  <si>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</si>
  <si>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</si>
  <si>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</si>
  <si>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</si>
  <si>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</si>
  <si>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</si>
  <si>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</si>
  <si>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</si>
  <si>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</si>
  <si>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</si>
  <si>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</si>
  <si>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</si>
  <si>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</si>
  <si>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</si>
  <si>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</si>
  <si>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</si>
  <si>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</si>
  <si>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</si>
  <si>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</si>
  <si>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</si>
  <si>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</si>
  <si>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</si>
  <si>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</si>
  <si>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</si>
  <si>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</si>
  <si>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</si>
  <si>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</si>
  <si>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</si>
  <si>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</si>
  <si>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</si>
  <si>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</si>
  <si>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</si>
  <si>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</si>
  <si>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</si>
  <si>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</si>
  <si>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</si>
  <si>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</si>
  <si>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</si>
  <si>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</si>
  <si>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</si>
  <si>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</si>
  <si>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</si>
  <si>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</si>
  <si>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</si>
  <si>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</si>
  <si>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</si>
  <si>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</si>
  <si>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</si>
  <si>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</si>
  <si>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</si>
  <si>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</si>
  <si>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</si>
  <si>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</si>
  <si>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</si>
  <si>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</si>
  <si>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</si>
  <si>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</si>
  <si>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</si>
  <si>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</si>
  <si>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</si>
  <si>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</si>
  <si>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</si>
  <si>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</si>
  <si>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</si>
  <si>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</si>
  <si>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</si>
  <si>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</si>
  <si>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</si>
  <si>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</si>
  <si>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</si>
  <si>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</si>
  <si>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</si>
  <si>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</si>
  <si>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</si>
  <si>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</si>
  <si>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</si>
  <si>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</si>
  <si>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</si>
  <si>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</si>
  <si>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</si>
  <si>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</si>
  <si>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</si>
  <si>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</si>
  <si>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</si>
  <si>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</si>
  <si>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</si>
  <si>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</si>
  <si>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</si>
  <si>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</si>
  <si>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</si>
  <si>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</si>
  <si>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</si>
  <si>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</si>
  <si>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</si>
  <si>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</si>
  <si>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</si>
  <si>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</si>
  <si>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</si>
  <si>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</si>
  <si>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</si>
  <si>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</si>
  <si>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</si>
  <si>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</si>
  <si>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</si>
  <si>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</si>
  <si>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</si>
  <si>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</si>
  <si>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</si>
  <si>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</si>
  <si>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</si>
  <si>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</si>
  <si>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</si>
  <si>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</si>
  <si>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</si>
  <si>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</si>
  <si>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</si>
  <si>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</si>
  <si>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</si>
  <si>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</si>
  <si>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</si>
  <si>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</si>
  <si>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</si>
  <si>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</si>
  <si>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</si>
  <si>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</si>
  <si>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</si>
  <si>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</si>
  <si>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</si>
  <si>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</si>
  <si>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</si>
  <si>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</si>
  <si>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</si>
  <si>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</si>
  <si>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</si>
  <si>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</si>
  <si>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</si>
  <si>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</si>
  <si>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</si>
  <si>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</si>
  <si>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</si>
  <si>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</si>
  <si>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</si>
  <si>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</si>
  <si>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</si>
  <si>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</si>
  <si>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</si>
  <si>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</si>
  <si>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</si>
  <si>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</si>
  <si>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</si>
  <si>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</si>
  <si>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</si>
  <si>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</si>
  <si>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</si>
  <si>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</si>
  <si>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</si>
  <si>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</si>
  <si>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</si>
  <si>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</si>
  <si>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</si>
  <si>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</si>
  <si>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</si>
  <si>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</si>
  <si>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</si>
  <si>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</si>
  <si>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</si>
  <si>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</si>
  <si>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</si>
  <si>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</si>
  <si>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</si>
  <si>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</si>
  <si>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</si>
  <si>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</si>
  <si>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</si>
  <si>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</si>
  <si>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</si>
  <si>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</si>
  <si>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</si>
  <si>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</si>
  <si>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</si>
  <si>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</si>
  <si>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r>
      <t xml:space="preserve"> </t>
    </r>
    <r>
      <rPr>
        <sz val="10"/>
        <rFont val="Arial"/>
        <family val="2"/>
      </rPr>
      <t>= Volume de l’eau douce prélevée + eau dessalée + eau réutilisée + eau importée - eau exportée.</t>
    </r>
  </si>
  <si>
    <t>Pertes au cours du transport</t>
  </si>
  <si>
    <t>Volume d’eau perdu pendant le transport entre le lieu de prélèvement et le lieu d’utilisation et entre le lieu d’utilisation et le lieu de réutilisation. Il comprend les pertes dues aux fuites et à l’évaporation.</t>
  </si>
  <si>
    <t>Quantité totale d’eau douce utilisée</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</si>
  <si>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</si>
  <si>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</si>
  <si>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</si>
  <si>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</si>
  <si>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</si>
  <si>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</si>
  <si>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</si>
  <si>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</si>
  <si>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</si>
  <si>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</si>
  <si>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</si>
  <si>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</si>
  <si>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</si>
  <si>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</si>
  <si>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</si>
  <si>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</si>
  <si>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</si>
  <si>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</si>
  <si>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</si>
  <si>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</si>
  <si>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</si>
  <si>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</si>
  <si>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</si>
  <si>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</si>
  <si>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</si>
  <si>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</si>
  <si>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</si>
  <si>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</si>
  <si>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</si>
  <si>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</si>
  <si>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</si>
  <si>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</si>
  <si>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</si>
  <si>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</si>
  <si>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</si>
  <si>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</si>
  <si>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</si>
  <si>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</si>
  <si>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</si>
  <si>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</si>
  <si>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</si>
  <si>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</si>
  <si>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</si>
  <si>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</si>
  <si>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</si>
  <si>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</si>
  <si>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</si>
  <si>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</si>
  <si>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</si>
  <si>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</si>
  <si>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</si>
  <si>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</si>
  <si>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</si>
  <si>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</si>
  <si>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</si>
  <si>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</si>
  <si>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</si>
  <si>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</si>
  <si>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</si>
  <si>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</si>
  <si>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</si>
  <si>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</si>
  <si>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</si>
  <si>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</si>
  <si>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</si>
  <si>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</si>
  <si>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</si>
  <si>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Agriculture, sylviculture et pêche (divisions 1 à 3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</si>
  <si>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</si>
  <si>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</si>
  <si>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</si>
  <si>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</si>
  <si>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</si>
  <si>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</si>
  <si>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</si>
  <si>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</si>
  <si>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</si>
  <si>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</si>
  <si>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</si>
  <si>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</si>
  <si>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</si>
  <si>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</si>
  <si>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</si>
  <si>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</si>
  <si>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</si>
  <si>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</si>
  <si>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</si>
  <si>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</si>
  <si>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</si>
  <si>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</si>
  <si>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</si>
  <si>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</si>
  <si>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</si>
  <si>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</si>
  <si>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</si>
  <si>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</si>
  <si>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</si>
  <si>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</si>
  <si>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</si>
  <si>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</si>
  <si>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</si>
  <si>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</si>
  <si>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</si>
  <si>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</si>
  <si>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</si>
  <si>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</si>
  <si>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</si>
  <si>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</si>
  <si>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</si>
  <si>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</si>
  <si>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</si>
  <si>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</si>
  <si>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</si>
  <si>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</si>
  <si>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</si>
  <si>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</si>
  <si>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</si>
  <si>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</si>
  <si>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</si>
  <si>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</si>
  <si>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</si>
  <si>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</si>
  <si>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</si>
  <si>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</si>
  <si>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</si>
  <si>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</si>
  <si>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</si>
  <si>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</si>
  <si>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</si>
  <si>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</si>
  <si>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</si>
  <si>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</si>
  <si>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</si>
  <si>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</si>
  <si>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</si>
  <si>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</si>
  <si>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</si>
  <si>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</si>
  <si>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</si>
  <si>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</si>
  <si>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</si>
  <si>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</si>
  <si>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</si>
  <si>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</si>
  <si>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</si>
  <si>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</si>
  <si>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</si>
  <si>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</si>
  <si>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</si>
  <si>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</si>
  <si>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</si>
  <si>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</si>
  <si>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</si>
  <si>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</si>
  <si>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</si>
  <si>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</si>
  <si>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9</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</si>
  <si>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</si>
  <si>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</si>
  <si>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</si>
  <si>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</si>
  <si>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</si>
  <si>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</si>
  <si>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</si>
  <si>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</si>
  <si>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</si>
  <si>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</si>
  <si>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</si>
  <si>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</si>
  <si>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</si>
  <si>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</si>
  <si>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</si>
  <si>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</si>
  <si>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</si>
  <si>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</si>
  <si>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</si>
  <si>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</si>
  <si>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</si>
  <si>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</si>
  <si>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</si>
  <si>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</si>
  <si>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</si>
  <si>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</si>
  <si>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</si>
  <si>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</si>
  <si>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</si>
  <si>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</si>
  <si>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</si>
  <si>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</si>
  <si>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</si>
  <si>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</si>
  <si>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</si>
  <si>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</si>
  <si>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</si>
  <si>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</si>
  <si>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</si>
  <si>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</si>
  <si>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</si>
  <si>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</si>
  <si>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</si>
  <si>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</si>
  <si>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</si>
  <si>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</si>
  <si>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</si>
  <si>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</si>
  <si>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</si>
  <si>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</si>
  <si>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</si>
  <si>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</si>
  <si>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</si>
  <si>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</si>
  <si>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</si>
  <si>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</si>
  <si>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</si>
  <si>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</si>
  <si>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</si>
  <si>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</si>
  <si>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</si>
  <si>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</si>
  <si>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</si>
  <si>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Volume d’eau douce prélevé</t>
  </si>
  <si>
    <t>Importations d’eau</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</si>
  <si>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</si>
  <si>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</si>
  <si>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</si>
  <si>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</si>
  <si>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</si>
  <si>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</si>
  <si>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</si>
  <si>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</si>
  <si>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</si>
  <si>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</si>
  <si>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</si>
  <si>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</si>
  <si>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 xml:space="preserve">Par la poste : UN Statistics Division, Environment Statistics Section,  DC2-1416, 2 United Nations Plaza, New York, New York, 10017, USA </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</si>
  <si>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</si>
  <si>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</si>
  <si>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</si>
  <si>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</si>
  <si>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</si>
  <si>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</si>
  <si>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</si>
  <si>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</si>
  <si>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</si>
  <si>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</si>
  <si>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</si>
  <si>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</si>
  <si>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</si>
  <si>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</si>
  <si>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</si>
  <si>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Volume d’eau douce prélevé (=1+2)</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</si>
  <si>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</si>
  <si>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</si>
  <si>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</si>
  <si>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</si>
  <si>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</si>
  <si>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</si>
  <si>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</si>
  <si>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</si>
  <si>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</si>
  <si>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</si>
  <si>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</si>
  <si>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</si>
  <si>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</si>
  <si>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</si>
  <si>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</si>
  <si>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</si>
  <si>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</si>
  <si>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</si>
  <si>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</si>
  <si>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</si>
  <si>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</si>
  <si>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</si>
  <si>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</si>
  <si>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</si>
  <si>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</si>
  <si>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</si>
  <si>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</si>
  <si>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</si>
  <si>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</si>
  <si>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</si>
  <si>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</si>
  <si>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</si>
  <si>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</si>
  <si>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</si>
  <si>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Desalinated water</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</si>
  <si>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</si>
  <si>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</si>
  <si>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</si>
  <si>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</si>
  <si>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</si>
  <si>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</si>
  <si>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</si>
  <si>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</si>
  <si>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</si>
  <si>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</si>
  <si>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</si>
  <si>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</si>
  <si>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</si>
  <si>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Par téléphone : Par téléphone : Reena Shah au +1 212 963 4586, ou Marcus Newbury au +1 212 963 0092, ou David Rausis au +1 917 367 5892, ou Robin Carrington au +1 212 963 6234.</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</si>
  <si>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</si>
  <si>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</si>
  <si>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</si>
  <si>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</si>
  <si>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</si>
  <si>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</si>
  <si>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</si>
  <si>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</si>
  <si>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</si>
  <si>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</si>
  <si>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</si>
  <si>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1000 m3/d</t>
  </si>
  <si>
    <t>of which at least secondary treatment</t>
  </si>
  <si>
    <t>QUESTIONNAIRE 2018 SUR LES STATISTIQUES DE L’ENVIRONNEMENT</t>
  </si>
  <si>
    <t>Activités extractives (divisions 5 à 9 de la CITI)</t>
  </si>
  <si>
    <t>Production et distribution d’électricité, de gaz, de vapeur et climatisation (division 35 de la CITI)</t>
  </si>
  <si>
    <r>
      <rPr>
        <i/>
        <sz val="8"/>
        <rFont val="Arial"/>
        <family val="2"/>
      </rPr>
      <t>Dont:</t>
    </r>
    <r>
      <rPr>
        <sz val="8"/>
        <rFont val="Arial"/>
        <family val="2"/>
      </rPr>
      <t xml:space="preserve"> Production, transport et distribution d'électricité (groupe 351 de la CITI)</t>
    </r>
  </si>
  <si>
    <t>Construction (divisions 41 à 43 de la CITI)</t>
  </si>
  <si>
    <t>Changements par rapport au Questionnaire UNSD/PNUE 2016 sur les statistiques de l'environnement</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</si>
  <si>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</si>
  <si>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</si>
  <si>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</si>
  <si>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</si>
  <si>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</si>
  <si>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</si>
  <si>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Groupe  351</t>
  </si>
  <si>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</si>
  <si>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</si>
  <si>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</si>
  <si>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</si>
  <si>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</si>
  <si>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</si>
  <si>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</si>
  <si>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</si>
  <si>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W2, 7 &amp; W2, 23</t>
  </si>
  <si>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</si>
  <si>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</si>
  <si>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</si>
  <si>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</si>
  <si>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</si>
  <si>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</si>
  <si>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</si>
  <si>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12
</t>
  </si>
  <si>
    <t>W2, 17</t>
  </si>
  <si>
    <t xml:space="preserve">W2, 18
</t>
  </si>
  <si>
    <t xml:space="preserve">W2, 19 &amp; W3, 2
</t>
  </si>
  <si>
    <t xml:space="preserve">W2, 20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</si>
  <si>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</si>
  <si>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</si>
  <si>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</si>
  <si>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</si>
  <si>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26</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</si>
  <si>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</si>
  <si>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</si>
  <si>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</si>
  <si>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</si>
  <si>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</si>
  <si>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</si>
  <si>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</si>
  <si>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</si>
  <si>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</si>
  <si>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</si>
  <si>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</si>
  <si>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</si>
  <si>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</si>
  <si>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</si>
  <si>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</si>
  <si>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</si>
  <si>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</si>
  <si>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</si>
  <si>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</si>
  <si>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</si>
  <si>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</si>
  <si>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Des variables supplémentaires ont été ajoutées aux tableaux W2: Prélèvements et utilisation d'eau douce; W3: Services d'alimentation en eau (CITI 36); et W4: Production et traitement des eaux usées. Toutes les variables supplémentaires sont des ventilations de diverses branches d'activité de la Classification internationale type, par industrie, de toutes les branches d'activité économique (CITI Rév. 4) et ont été ajoutées à la demande de l'agenda des Objectifs de développement durable (ODD).
</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</si>
  <si>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</si>
  <si>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r>
      <t>W2, 15</t>
    </r>
    <r>
      <rPr>
        <b/>
        <sz val="10"/>
        <rFont val="Arial"/>
        <family val="2"/>
      </rPr>
      <t xml:space="preserve">
</t>
    </r>
  </si>
  <si>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</si>
  <si>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</si>
  <si>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</si>
  <si>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Lorsqu’un pays a communiqué des données en réponse aux questionnaires précédents de la Division de statistique et du Programme des Nations Unies pour l’environnement sur les statistiques environnementales, le questionnaire de 2018 a été prérempli au moyen des données communiquées. Il est demandé aux pays d’ajouter les données des années postérieures et de vérifier la cohérence de la série chronologique.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</si>
  <si>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</si>
  <si>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</si>
  <si>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r>
      <t>Dont :</t>
    </r>
    <r>
      <rPr>
        <sz val="8"/>
        <rFont val="Arial"/>
        <family val="2"/>
      </rPr>
      <t xml:space="preserve"> irrigation agricole</t>
    </r>
  </si>
  <si>
    <t>Activités de fabrication  (divisions 10 à 33 de la CITI)</t>
  </si>
  <si>
    <t xml:space="preserve">Autres activités économiques </t>
  </si>
  <si>
    <t>par :
     Agriculture, sylviculture et pêche
     (divisions 1 à 3 de la CITI)</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</si>
  <si>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</si>
  <si>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</si>
  <si>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</si>
  <si>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</si>
  <si>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</si>
  <si>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</si>
  <si>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</si>
  <si>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</si>
  <si>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</si>
  <si>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</si>
  <si>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</si>
  <si>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</si>
  <si>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</si>
  <si>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</si>
  <si>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</si>
  <si>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</si>
  <si>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</si>
  <si>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</si>
  <si>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</si>
  <si>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</si>
  <si>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</si>
  <si>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</si>
  <si>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</si>
  <si>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</si>
  <si>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</si>
  <si>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</si>
  <si>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</si>
  <si>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</si>
  <si>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</si>
  <si>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</si>
  <si>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</si>
  <si>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</si>
  <si>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</si>
  <si>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</si>
  <si>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</si>
  <si>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</si>
  <si>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</si>
  <si>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</si>
  <si>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</si>
  <si>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</si>
  <si>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totale d’eau douce disponible et utilisable (=3+14+15+16-17)</t>
  </si>
  <si>
    <t>Quantité totale d’eau douce utilisée (=18-19)</t>
  </si>
  <si>
    <t>Quantité nette d’eau douce fournie par les services d’alimentation en eau (CITI 36) (=1-2) (=4+5+6+7+8+10+11)</t>
  </si>
  <si>
    <t>A</t>
  </si>
  <si>
    <t>Source : dossier administratif, METTELSAT, les données sont annulles de 2012 à 2017 en mm et nous les avons transportées en moyenne annuelle, en prenant chaque données anuuelles divisér par 12 et ces données sont exprimées en mm.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</si>
</sst>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b/>
      <sz val="8"/>
      <color indexed="18"/>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FF0000"/>
      <name val="Times New Roman"/>
      <family val="1"/>
    </font>
    <font>
      <sz val="10"/>
      <color rgb="FFFF0000"/>
      <name val="Times New Roman"/>
      <family val="1"/>
    </font>
    <font>
      <b/>
      <sz val="8"/>
      <color rgb="FFFF0000"/>
      <name val="Arial"/>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color indexed="63"/>
      </botto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40"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30" xfId="0" applyFont="1" applyFill="1" applyBorder="1" applyAlignment="1">
      <alignment horizontal="center"/>
    </xf>
    <xf numFmtId="0" fontId="2"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7"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Alignment="1">
      <alignment vertical="top"/>
    </xf>
    <xf numFmtId="0" fontId="1" fillId="0" borderId="41" xfId="0" applyFont="1" applyFill="1" applyBorder="1" applyAlignment="1">
      <alignment vertical="top" wrapText="1"/>
    </xf>
    <xf numFmtId="0" fontId="3" fillId="0" borderId="38" xfId="0" applyFont="1" applyFill="1" applyBorder="1" applyAlignment="1">
      <alignment vertical="center"/>
    </xf>
    <xf numFmtId="0" fontId="3" fillId="0" borderId="41" xfId="0" applyFont="1" applyFill="1" applyBorder="1" applyAlignment="1">
      <alignment vertical="top"/>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16" xfId="0" applyFont="1" applyFill="1" applyBorder="1" applyAlignment="1">
      <alignment vertical="top"/>
    </xf>
    <xf numFmtId="0" fontId="3" fillId="0" borderId="30" xfId="0" applyFont="1" applyFill="1" applyBorder="1" applyAlignment="1">
      <alignment vertical="top"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2" fillId="0" borderId="44" xfId="0" applyFont="1" applyFill="1" applyBorder="1" applyAlignment="1" applyProtection="1">
      <alignment vertical="top" wrapText="1"/>
      <protection/>
    </xf>
    <xf numFmtId="0" fontId="2" fillId="0" borderId="44" xfId="0" applyFont="1" applyFill="1" applyBorder="1" applyAlignment="1">
      <alignment vertical="top" wrapText="1"/>
    </xf>
    <xf numFmtId="0" fontId="2" fillId="0" borderId="44" xfId="0" applyNumberFormat="1" applyFont="1" applyFill="1" applyBorder="1" applyAlignment="1">
      <alignment vertical="top" wrapText="1"/>
    </xf>
    <xf numFmtId="0" fontId="5"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46" xfId="0" applyFont="1" applyFill="1" applyBorder="1" applyAlignment="1">
      <alignment vertical="top" wrapText="1"/>
    </xf>
    <xf numFmtId="0" fontId="2" fillId="0" borderId="47" xfId="0" applyNumberFormat="1" applyFont="1" applyFill="1" applyBorder="1" applyAlignment="1">
      <alignment vertical="top" wrapText="1"/>
    </xf>
    <xf numFmtId="0" fontId="2" fillId="0" borderId="30" xfId="0" applyFont="1" applyFill="1" applyBorder="1" applyAlignment="1">
      <alignment vertical="top" wrapText="1"/>
    </xf>
    <xf numFmtId="49" fontId="1" fillId="0" borderId="48" xfId="0" applyNumberFormat="1" applyFont="1" applyFill="1" applyBorder="1" applyAlignment="1">
      <alignment vertical="top" wrapText="1"/>
    </xf>
    <xf numFmtId="0" fontId="3" fillId="0" borderId="44" xfId="0" applyFont="1" applyFill="1" applyBorder="1" applyAlignment="1">
      <alignment vertical="top" wrapText="1"/>
    </xf>
    <xf numFmtId="0" fontId="3" fillId="0" borderId="49" xfId="0" applyFont="1" applyFill="1" applyBorder="1" applyAlignment="1">
      <alignment vertical="top" wrapText="1"/>
    </xf>
    <xf numFmtId="0" fontId="2" fillId="0" borderId="50" xfId="0" applyFont="1" applyFill="1" applyBorder="1" applyAlignment="1">
      <alignment vertical="top" wrapText="1"/>
    </xf>
    <xf numFmtId="0" fontId="2" fillId="0" borderId="46"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52" xfId="0" applyFont="1" applyFill="1" applyBorder="1" applyAlignment="1">
      <alignment vertical="top" wrapText="1"/>
    </xf>
    <xf numFmtId="0" fontId="2" fillId="0" borderId="53" xfId="0" applyFont="1" applyFill="1" applyBorder="1" applyAlignment="1">
      <alignment vertical="top" wrapText="1"/>
    </xf>
    <xf numFmtId="0" fontId="60" fillId="3" borderId="30" xfId="0" applyFont="1" applyFill="1" applyBorder="1" applyAlignment="1">
      <alignment horizontal="center" vertical="center"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9"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3" fillId="35" borderId="0" xfId="0" applyFont="1" applyFill="1" applyBorder="1" applyAlignment="1" applyProtection="1">
      <alignment wrapText="1"/>
      <protection/>
    </xf>
    <xf numFmtId="0" fontId="0" fillId="35"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3" fillId="37" borderId="49" xfId="59" applyFont="1" applyFill="1" applyBorder="1" applyAlignment="1" applyProtection="1">
      <alignment horizontal="center"/>
      <protection/>
    </xf>
    <xf numFmtId="0" fontId="63" fillId="37" borderId="49"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4" xfId="0" applyFont="1" applyFill="1" applyBorder="1" applyAlignment="1" applyProtection="1">
      <alignment horizontal="center" vertical="center" wrapText="1"/>
      <protection/>
    </xf>
    <xf numFmtId="0" fontId="5" fillId="35" borderId="54" xfId="0" applyFont="1" applyFill="1" applyBorder="1" applyAlignment="1" applyProtection="1">
      <alignment horizontal="center" vertical="center"/>
      <protection/>
    </xf>
    <xf numFmtId="0" fontId="33" fillId="35" borderId="54"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35"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63" fillId="38" borderId="55" xfId="60" applyFont="1" applyFill="1" applyBorder="1" applyAlignment="1" applyProtection="1">
      <alignment horizontal="right" wrapText="1"/>
      <protection/>
    </xf>
    <xf numFmtId="0" fontId="63" fillId="38" borderId="55" xfId="60" applyFont="1" applyFill="1" applyBorder="1" applyAlignment="1" applyProtection="1">
      <alignment horizontal="left"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5" borderId="0" xfId="0" applyFill="1" applyAlignment="1" applyProtection="1">
      <alignment vertical="center"/>
      <protection/>
    </xf>
    <xf numFmtId="0" fontId="8" fillId="35" borderId="56"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wrapText="1"/>
      <protection/>
    </xf>
    <xf numFmtId="0" fontId="8" fillId="35" borderId="56"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35" borderId="0" xfId="0" applyFont="1" applyFill="1" applyAlignment="1" applyProtection="1">
      <alignment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7" xfId="0" applyFont="1" applyBorder="1" applyAlignment="1" applyProtection="1">
      <alignment horizontal="center" vertical="center"/>
      <protection/>
    </xf>
    <xf numFmtId="0" fontId="8" fillId="35" borderId="57" xfId="0" applyFont="1" applyFill="1" applyBorder="1" applyAlignment="1" applyProtection="1">
      <alignment horizontal="center" vertical="center"/>
      <protection/>
    </xf>
    <xf numFmtId="0" fontId="31" fillId="35" borderId="57" xfId="0" applyFont="1" applyFill="1" applyBorder="1" applyAlignment="1" applyProtection="1">
      <alignment horizontal="left" vertical="center" wrapText="1"/>
      <protection/>
    </xf>
    <xf numFmtId="0" fontId="8" fillId="0" borderId="57" xfId="0" applyFont="1" applyFill="1" applyBorder="1" applyAlignment="1" applyProtection="1">
      <alignment horizontal="center" vertical="center"/>
      <protection/>
    </xf>
    <xf numFmtId="0" fontId="14" fillId="0" borderId="31" xfId="0" applyFont="1" applyFill="1" applyBorder="1" applyAlignment="1" applyProtection="1">
      <alignment vertical="center" wrapText="1"/>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8"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38" fillId="35" borderId="29"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8"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8" fillId="35" borderId="0" xfId="0" applyFont="1" applyFill="1" applyAlignment="1" applyProtection="1">
      <alignment horizontal="center"/>
      <protection/>
    </xf>
    <xf numFmtId="0" fontId="64" fillId="35"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2" fillId="35"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38" fillId="0" borderId="0" xfId="0" applyFont="1" applyAlignment="1" applyProtection="1">
      <alignment horizontal="right"/>
      <protection/>
    </xf>
    <xf numFmtId="0" fontId="36" fillId="0" borderId="0" xfId="0" applyFont="1" applyAlignment="1" applyProtection="1">
      <alignment horizontal="right"/>
      <protection/>
    </xf>
    <xf numFmtId="0" fontId="54"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5" fillId="0" borderId="29"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8"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57" xfId="0" applyFont="1" applyFill="1" applyBorder="1" applyAlignment="1" applyProtection="1">
      <alignment horizontal="left" vertical="center" indent="2"/>
      <protection/>
    </xf>
    <xf numFmtId="0" fontId="14" fillId="35" borderId="57" xfId="0" applyFont="1" applyFill="1" applyBorder="1" applyAlignment="1" applyProtection="1">
      <alignment horizontal="left" vertical="center" wrapText="1"/>
      <protection/>
    </xf>
    <xf numFmtId="0" fontId="8" fillId="35" borderId="57"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8" fillId="35"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2" fillId="35" borderId="0" xfId="0" applyFont="1" applyFill="1" applyBorder="1" applyAlignment="1" applyProtection="1">
      <alignment wrapText="1"/>
      <protection/>
    </xf>
    <xf numFmtId="0" fontId="3" fillId="35" borderId="59" xfId="0" applyFont="1" applyFill="1" applyBorder="1" applyAlignment="1" applyProtection="1">
      <alignment/>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8" fillId="35" borderId="60" xfId="0" applyFont="1" applyFill="1" applyBorder="1" applyAlignment="1" applyProtection="1">
      <alignment horizontal="center" vertical="center"/>
      <protection/>
    </xf>
    <xf numFmtId="0" fontId="31" fillId="35" borderId="60" xfId="0" applyFont="1" applyFill="1" applyBorder="1" applyAlignment="1" applyProtection="1">
      <alignment horizontal="left" vertical="center" wrapText="1"/>
      <protection/>
    </xf>
    <xf numFmtId="0" fontId="8" fillId="35" borderId="60" xfId="0" applyFont="1" applyFill="1" applyBorder="1" applyAlignment="1" applyProtection="1">
      <alignment horizontal="center" vertical="center" wrapText="1"/>
      <protection/>
    </xf>
    <xf numFmtId="0" fontId="31" fillId="35" borderId="60" xfId="0" applyFont="1" applyFill="1" applyBorder="1" applyAlignment="1" applyProtection="1">
      <alignment horizontal="left" vertical="center" wrapText="1" indent="2"/>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5" fillId="35" borderId="62"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3" xfId="0" applyFont="1" applyFill="1" applyBorder="1" applyAlignment="1" applyProtection="1">
      <alignment horizontal="center" vertical="center"/>
      <protection/>
    </xf>
    <xf numFmtId="0" fontId="8" fillId="35" borderId="64" xfId="0" applyFont="1" applyFill="1" applyBorder="1" applyAlignment="1" applyProtection="1">
      <alignment horizontal="right" vertical="center" wrapText="1"/>
      <protection/>
    </xf>
    <xf numFmtId="0" fontId="14" fillId="0" borderId="29" xfId="0" applyFont="1" applyFill="1" applyBorder="1" applyAlignment="1" applyProtection="1">
      <alignment vertical="center" wrapText="1"/>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4" xfId="0"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6" xfId="0" applyFont="1" applyFill="1" applyBorder="1" applyAlignment="1" applyProtection="1">
      <alignment/>
      <protection/>
    </xf>
    <xf numFmtId="0" fontId="8" fillId="35" borderId="33" xfId="0" applyFont="1" applyFill="1" applyBorder="1" applyAlignment="1" applyProtection="1">
      <alignment/>
      <protection/>
    </xf>
    <xf numFmtId="0" fontId="8" fillId="35" borderId="67" xfId="0" applyFont="1" applyFill="1" applyBorder="1" applyAlignment="1" applyProtection="1">
      <alignment/>
      <protection/>
    </xf>
    <xf numFmtId="0" fontId="38" fillId="35" borderId="0" xfId="0" applyFont="1" applyFill="1" applyBorder="1" applyAlignment="1" applyProtection="1">
      <alignment vertical="top" wrapText="1"/>
      <protection/>
    </xf>
    <xf numFmtId="0" fontId="8" fillId="35" borderId="57" xfId="0" applyFont="1" applyFill="1" applyBorder="1" applyAlignment="1" applyProtection="1">
      <alignment/>
      <protection/>
    </xf>
    <xf numFmtId="0" fontId="8" fillId="35" borderId="64"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70" xfId="0" applyFont="1" applyFill="1" applyBorder="1" applyAlignment="1" applyProtection="1">
      <alignment/>
      <protection/>
    </xf>
    <xf numFmtId="0" fontId="8" fillId="35" borderId="29" xfId="0" applyFont="1" applyFill="1" applyBorder="1" applyAlignment="1" applyProtection="1">
      <alignment/>
      <protection/>
    </xf>
    <xf numFmtId="0" fontId="8" fillId="35" borderId="71" xfId="0" applyFont="1" applyFill="1" applyBorder="1" applyAlignment="1" applyProtection="1">
      <alignment horizontal="center" vertical="center"/>
      <protection/>
    </xf>
    <xf numFmtId="0" fontId="8" fillId="35" borderId="72"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54"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64"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38" fillId="0" borderId="0" xfId="0" applyFont="1" applyFill="1" applyAlignment="1" applyProtection="1">
      <alignment vertical="top" wrapText="1"/>
      <protection/>
    </xf>
    <xf numFmtId="0" fontId="51" fillId="35" borderId="29" xfId="0" applyFont="1" applyFill="1" applyBorder="1" applyAlignment="1" applyProtection="1">
      <alignment horizontal="right" vertical="center" wrapText="1"/>
      <protection/>
    </xf>
    <xf numFmtId="0" fontId="0" fillId="39" borderId="0" xfId="0" applyFont="1" applyFill="1" applyAlignment="1" applyProtection="1">
      <alignment/>
      <protection/>
    </xf>
    <xf numFmtId="0" fontId="9"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38" fillId="0" borderId="0" xfId="0" applyFont="1" applyAlignment="1" applyProtection="1">
      <alignment horizontal="center" vertical="center" wrapText="1"/>
      <protection/>
    </xf>
    <xf numFmtId="0" fontId="9" fillId="0" borderId="60"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73"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74"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2" fillId="0" borderId="76" xfId="0" applyFont="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2" fillId="0" borderId="77" xfId="0" applyFont="1" applyBorder="1" applyAlignment="1" applyProtection="1">
      <alignment horizontal="center"/>
      <protection locked="0"/>
    </xf>
    <xf numFmtId="0" fontId="8" fillId="0" borderId="57" xfId="0" applyFont="1" applyFill="1" applyBorder="1" applyAlignment="1" applyProtection="1">
      <alignment horizontal="center" vertical="center" wrapText="1"/>
      <protection locked="0"/>
    </xf>
    <xf numFmtId="0" fontId="2" fillId="0" borderId="78" xfId="0" applyFont="1" applyBorder="1" applyAlignment="1" applyProtection="1">
      <alignment horizontal="center"/>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7"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7"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0" fontId="8" fillId="39" borderId="27" xfId="0" applyFont="1" applyFill="1" applyBorder="1" applyAlignment="1" applyProtection="1">
      <alignment horizontal="center" vertical="center" wrapText="1"/>
      <protection locked="0"/>
    </xf>
    <xf numFmtId="0" fontId="31" fillId="39"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39" borderId="27" xfId="0" applyFont="1" applyFill="1" applyBorder="1" applyAlignment="1" applyProtection="1">
      <alignment horizontal="left" vertical="center" wrapText="1"/>
      <protection/>
    </xf>
    <xf numFmtId="0" fontId="8" fillId="39" borderId="29" xfId="0" applyFont="1" applyFill="1" applyBorder="1" applyAlignment="1" applyProtection="1">
      <alignment horizontal="center" vertical="center"/>
      <protection/>
    </xf>
    <xf numFmtId="0" fontId="8" fillId="39" borderId="57" xfId="0" applyFont="1" applyFill="1" applyBorder="1" applyAlignment="1" applyProtection="1">
      <alignment horizontal="right" wrapText="1"/>
      <protection locked="0"/>
    </xf>
    <xf numFmtId="0" fontId="31" fillId="39" borderId="57" xfId="0" applyFont="1" applyFill="1" applyBorder="1" applyAlignment="1" applyProtection="1">
      <alignment horizontal="center" vertical="center" wrapText="1"/>
      <protection locked="0"/>
    </xf>
    <xf numFmtId="0" fontId="41" fillId="35" borderId="0" xfId="0" applyFont="1" applyFill="1" applyAlignment="1" applyProtection="1">
      <alignment/>
      <protection/>
    </xf>
    <xf numFmtId="0" fontId="0" fillId="35" borderId="0" xfId="0" applyFont="1" applyFill="1" applyAlignment="1" applyProtection="1">
      <alignment/>
      <protection/>
    </xf>
    <xf numFmtId="0" fontId="33" fillId="40" borderId="79" xfId="0" applyNumberFormat="1" applyFont="1" applyFill="1" applyBorder="1" applyAlignment="1" applyProtection="1">
      <alignment horizontal="left" vertical="center"/>
      <protection/>
    </xf>
    <xf numFmtId="0" fontId="5" fillId="40" borderId="79" xfId="0" applyNumberFormat="1" applyFont="1" applyFill="1" applyBorder="1" applyAlignment="1" applyProtection="1">
      <alignment horizontal="center" vertical="center"/>
      <protection/>
    </xf>
    <xf numFmtId="0" fontId="67" fillId="40" borderId="79"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5" fillId="40" borderId="79" xfId="0" applyNumberFormat="1" applyFont="1" applyFill="1" applyBorder="1" applyAlignment="1" applyProtection="1">
      <alignment horizontal="center" vertical="center"/>
      <protection locked="0"/>
    </xf>
    <xf numFmtId="0" fontId="33" fillId="40" borderId="79" xfId="0" applyNumberFormat="1" applyFont="1" applyFill="1" applyBorder="1" applyAlignment="1" applyProtection="1">
      <alignment horizontal="left" vertical="center"/>
      <protection locked="0"/>
    </xf>
    <xf numFmtId="0" fontId="67" fillId="40" borderId="79"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41" borderId="0" xfId="0" applyFont="1" applyFill="1" applyBorder="1" applyAlignment="1" applyProtection="1">
      <alignment horizontal="center" vertical="center" wrapText="1"/>
      <protection/>
    </xf>
    <xf numFmtId="0" fontId="9" fillId="41" borderId="0" xfId="0" applyFont="1" applyFill="1" applyBorder="1" applyAlignment="1">
      <alignment wrapText="1"/>
    </xf>
    <xf numFmtId="0" fontId="9" fillId="41" borderId="0" xfId="0" applyFont="1" applyFill="1" applyBorder="1" applyAlignment="1" applyProtection="1">
      <alignment wrapText="1"/>
      <protection/>
    </xf>
    <xf numFmtId="0" fontId="0" fillId="0" borderId="0" xfId="0" applyFill="1" applyBorder="1" applyAlignment="1">
      <alignment wrapText="1"/>
    </xf>
    <xf numFmtId="0" fontId="0" fillId="41" borderId="0" xfId="0" applyFill="1" applyBorder="1" applyAlignment="1">
      <alignment/>
    </xf>
    <xf numFmtId="0" fontId="9" fillId="41" borderId="0" xfId="0" applyFont="1" applyFill="1" applyBorder="1" applyAlignment="1" applyProtection="1">
      <alignment/>
      <protection/>
    </xf>
    <xf numFmtId="0" fontId="0" fillId="41" borderId="0" xfId="0" applyFill="1" applyBorder="1" applyAlignment="1" applyProtection="1">
      <alignment/>
      <protection/>
    </xf>
    <xf numFmtId="0" fontId="0" fillId="41" borderId="0" xfId="0" applyFont="1" applyFill="1" applyBorder="1" applyAlignment="1" applyProtection="1">
      <alignment/>
      <protection/>
    </xf>
    <xf numFmtId="0" fontId="38" fillId="41" borderId="0" xfId="0" applyFont="1" applyFill="1" applyBorder="1" applyAlignment="1" applyProtection="1">
      <alignment horizontal="left" vertical="top" wrapText="1"/>
      <protection/>
    </xf>
    <xf numFmtId="0" fontId="61" fillId="41" borderId="0" xfId="0" applyFont="1" applyFill="1" applyBorder="1" applyAlignment="1" applyProtection="1">
      <alignment horizontal="center" vertical="center"/>
      <protection/>
    </xf>
    <xf numFmtId="0" fontId="0" fillId="41" borderId="0" xfId="0" applyFill="1" applyBorder="1" applyAlignment="1">
      <alignment horizontal="center" wrapText="1"/>
    </xf>
    <xf numFmtId="0" fontId="38" fillId="41"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41" borderId="0" xfId="0" applyFont="1" applyFill="1" applyBorder="1" applyAlignment="1" applyProtection="1">
      <alignment horizontal="center" vertical="center" wrapText="1"/>
      <protection/>
    </xf>
    <xf numFmtId="0" fontId="0" fillId="39" borderId="0" xfId="0" applyFont="1" applyFill="1" applyAlignment="1" applyProtection="1">
      <alignment/>
      <protection/>
    </xf>
    <xf numFmtId="0" fontId="0" fillId="39" borderId="0" xfId="0" applyFill="1" applyAlignment="1" applyProtection="1">
      <alignment/>
      <protection/>
    </xf>
    <xf numFmtId="0" fontId="16" fillId="39" borderId="0" xfId="0" applyFont="1" applyFill="1" applyBorder="1" applyAlignment="1" applyProtection="1">
      <alignment/>
      <protection/>
    </xf>
    <xf numFmtId="0" fontId="16" fillId="39" borderId="0" xfId="0" applyFont="1" applyFill="1" applyAlignment="1" applyProtection="1">
      <alignment/>
      <protection/>
    </xf>
    <xf numFmtId="0" fontId="0" fillId="39" borderId="0" xfId="0" applyFont="1" applyFill="1" applyAlignment="1" applyProtection="1">
      <alignment/>
      <protection/>
    </xf>
    <xf numFmtId="0" fontId="5" fillId="39" borderId="54" xfId="0" applyFont="1" applyFill="1" applyBorder="1" applyAlignment="1" applyProtection="1">
      <alignment horizontal="center" vertical="center"/>
      <protection/>
    </xf>
    <xf numFmtId="0" fontId="33" fillId="39" borderId="54" xfId="0" applyFont="1" applyFill="1" applyBorder="1" applyAlignment="1" applyProtection="1">
      <alignment horizontal="left" vertical="center" wrapText="1"/>
      <protection/>
    </xf>
    <xf numFmtId="0" fontId="0" fillId="39" borderId="0" xfId="0" applyFill="1" applyBorder="1" applyAlignment="1" applyProtection="1">
      <alignment/>
      <protection/>
    </xf>
    <xf numFmtId="1" fontId="8" fillId="35" borderId="27" xfId="0" applyNumberFormat="1" applyFont="1" applyFill="1" applyBorder="1" applyAlignment="1" applyProtection="1">
      <alignment horizontal="center" vertical="center"/>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57" xfId="0" applyFont="1" applyFill="1" applyBorder="1" applyAlignment="1" applyProtection="1">
      <alignment horizontal="center" vertical="top"/>
      <protection/>
    </xf>
    <xf numFmtId="0" fontId="8" fillId="0" borderId="57" xfId="0" applyNumberFormat="1"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protection/>
    </xf>
    <xf numFmtId="0" fontId="14" fillId="39" borderId="29" xfId="0" applyFont="1" applyFill="1" applyBorder="1" applyAlignment="1" applyProtection="1">
      <alignment horizontal="left" vertical="center" wrapText="1"/>
      <protection/>
    </xf>
    <xf numFmtId="0" fontId="5" fillId="39" borderId="29"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68" fillId="33" borderId="0" xfId="0" applyFont="1" applyFill="1" applyBorder="1" applyAlignment="1">
      <alignment horizontal="center"/>
    </xf>
    <xf numFmtId="49" fontId="1" fillId="0" borderId="41"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80" xfId="0" applyFont="1" applyFill="1" applyBorder="1" applyAlignment="1">
      <alignment vertical="top" wrapText="1"/>
    </xf>
    <xf numFmtId="0" fontId="3" fillId="0" borderId="81" xfId="0" applyFont="1" applyFill="1" applyBorder="1" applyAlignment="1">
      <alignment vertical="top" wrapText="1"/>
    </xf>
    <xf numFmtId="0" fontId="3" fillId="0" borderId="82" xfId="0" applyFont="1" applyFill="1" applyBorder="1" applyAlignment="1">
      <alignment vertical="top" wrapText="1"/>
    </xf>
    <xf numFmtId="0" fontId="8" fillId="0" borderId="29"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5"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6"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6"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27" xfId="0" applyFont="1" applyFill="1" applyBorder="1" applyAlignment="1" applyProtection="1">
      <alignment horizontal="left" vertical="center" wrapText="1" indent="2"/>
      <protection/>
    </xf>
    <xf numFmtId="0" fontId="8" fillId="0" borderId="28" xfId="0" applyFont="1" applyFill="1" applyBorder="1" applyAlignment="1" applyProtection="1">
      <alignment horizontal="left" vertical="center" wrapText="1" indent="1"/>
      <protection/>
    </xf>
    <xf numFmtId="0" fontId="8" fillId="39" borderId="27" xfId="0" applyFont="1" applyFill="1" applyBorder="1" applyAlignment="1" applyProtection="1">
      <alignment horizontal="center" vertical="center"/>
      <protection/>
    </xf>
    <xf numFmtId="0" fontId="8" fillId="39" borderId="29" xfId="0" applyFont="1" applyFill="1" applyBorder="1" applyAlignment="1" applyProtection="1">
      <alignment horizontal="center" vertical="top"/>
      <protection/>
    </xf>
    <xf numFmtId="0" fontId="8" fillId="35" borderId="27" xfId="0" applyFont="1" applyFill="1" applyBorder="1" applyAlignment="1" applyProtection="1">
      <alignment horizontal="left" vertical="center" wrapText="1" indent="1"/>
      <protection/>
    </xf>
    <xf numFmtId="0" fontId="8" fillId="39" borderId="57" xfId="0" applyFont="1" applyFill="1" applyBorder="1" applyAlignment="1" applyProtection="1">
      <alignment horizontal="center" vertical="top"/>
      <protection/>
    </xf>
    <xf numFmtId="0" fontId="8" fillId="39" borderId="28" xfId="0" applyFont="1" applyFill="1" applyBorder="1" applyAlignment="1" applyProtection="1">
      <alignment horizontal="center" vertical="top"/>
      <protection/>
    </xf>
    <xf numFmtId="0" fontId="0" fillId="39" borderId="0" xfId="0" applyFont="1" applyFill="1"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5" fillId="39" borderId="29" xfId="0" applyFont="1" applyFill="1" applyBorder="1" applyAlignment="1" applyProtection="1">
      <alignment horizontal="left" vertical="center" wrapText="1"/>
      <protection/>
    </xf>
    <xf numFmtId="0" fontId="8" fillId="39" borderId="29" xfId="0" applyFont="1" applyFill="1" applyBorder="1" applyAlignment="1" applyProtection="1">
      <alignment horizontal="left" vertical="center" wrapText="1"/>
      <protection/>
    </xf>
    <xf numFmtId="0" fontId="14" fillId="39" borderId="29" xfId="0" applyFont="1" applyFill="1" applyBorder="1" applyAlignment="1" applyProtection="1">
      <alignment horizontal="left" vertical="center"/>
      <protection/>
    </xf>
    <xf numFmtId="0" fontId="8" fillId="39" borderId="29" xfId="0" applyFont="1" applyFill="1" applyBorder="1" applyAlignment="1" applyProtection="1">
      <alignment horizontal="left" vertical="center" wrapText="1" indent="2"/>
      <protection/>
    </xf>
    <xf numFmtId="0" fontId="8" fillId="39" borderId="29" xfId="0" applyFont="1" applyFill="1" applyBorder="1" applyAlignment="1" applyProtection="1">
      <alignment horizontal="left" vertical="center" indent="2"/>
      <protection/>
    </xf>
    <xf numFmtId="0" fontId="8" fillId="39" borderId="29" xfId="0" applyFont="1" applyFill="1" applyBorder="1" applyAlignment="1" applyProtection="1">
      <alignment horizontal="left" vertical="center" indent="1"/>
      <protection/>
    </xf>
    <xf numFmtId="0" fontId="8" fillId="39" borderId="29" xfId="0" applyFont="1" applyFill="1" applyBorder="1" applyAlignment="1" applyProtection="1">
      <alignment horizontal="left" vertical="center" wrapText="1" indent="3"/>
      <protection/>
    </xf>
    <xf numFmtId="0" fontId="8" fillId="39" borderId="57" xfId="0" applyFont="1" applyFill="1" applyBorder="1" applyAlignment="1" applyProtection="1">
      <alignment horizontal="left" vertical="center" indent="2"/>
      <protection/>
    </xf>
    <xf numFmtId="0" fontId="8" fillId="39" borderId="57" xfId="0" applyFont="1" applyFill="1" applyBorder="1" applyAlignment="1" applyProtection="1">
      <alignment horizontal="center" vertical="center"/>
      <protection/>
    </xf>
    <xf numFmtId="0" fontId="14" fillId="39" borderId="57" xfId="0" applyFont="1" applyFill="1" applyBorder="1" applyAlignment="1" applyProtection="1">
      <alignment horizontal="left" vertical="center"/>
      <protection/>
    </xf>
    <xf numFmtId="0" fontId="8" fillId="39" borderId="28" xfId="0" applyFont="1" applyFill="1" applyBorder="1" applyAlignment="1" applyProtection="1">
      <alignment horizontal="center" vertical="center"/>
      <protection/>
    </xf>
    <xf numFmtId="0" fontId="8" fillId="39" borderId="28" xfId="0" applyFont="1" applyFill="1" applyBorder="1" applyAlignment="1" applyProtection="1">
      <alignment horizontal="left" vertical="center" wrapText="1"/>
      <protection/>
    </xf>
    <xf numFmtId="0" fontId="54" fillId="39" borderId="0" xfId="0" applyFont="1" applyFill="1" applyAlignment="1" applyProtection="1">
      <alignment/>
      <protection/>
    </xf>
    <xf numFmtId="0" fontId="0" fillId="35" borderId="0" xfId="0" applyFont="1" applyFill="1" applyBorder="1" applyAlignment="1" applyProtection="1">
      <alignment/>
      <protection/>
    </xf>
    <xf numFmtId="0" fontId="15" fillId="0" borderId="10" xfId="0" applyFont="1" applyBorder="1" applyAlignment="1" applyProtection="1">
      <alignment horizontal="left"/>
      <protection locked="0"/>
    </xf>
    <xf numFmtId="0" fontId="15" fillId="0" borderId="10" xfId="0" applyFont="1" applyFill="1" applyBorder="1" applyAlignment="1" applyProtection="1">
      <alignment horizontal="left"/>
      <protection locked="0"/>
    </xf>
    <xf numFmtId="0" fontId="15" fillId="0" borderId="10" xfId="0" applyFont="1" applyFill="1" applyBorder="1" applyAlignment="1" applyProtection="1">
      <alignment horizontal="left" wrapText="1"/>
      <protection locked="0"/>
    </xf>
    <xf numFmtId="0" fontId="4" fillId="32" borderId="0" xfId="0" applyFont="1" applyFill="1" applyAlignment="1" applyProtection="1">
      <alignment horizontal="left"/>
      <protection/>
    </xf>
    <xf numFmtId="0" fontId="16" fillId="0" borderId="0" xfId="0" applyFont="1" applyFill="1" applyBorder="1" applyAlignment="1">
      <alignment vertical="top" wrapText="1"/>
    </xf>
    <xf numFmtId="0" fontId="0" fillId="0" borderId="0" xfId="0" applyFont="1" applyFill="1" applyAlignment="1">
      <alignment/>
    </xf>
    <xf numFmtId="0" fontId="16"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2" borderId="0" xfId="0" applyFont="1" applyFill="1" applyAlignment="1">
      <alignment horizontal="center"/>
    </xf>
    <xf numFmtId="0" fontId="35" fillId="32"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59"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59"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 borderId="5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6" borderId="46"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6" fillId="0" borderId="78"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6"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73"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6" xfId="0" applyFont="1" applyFill="1" applyBorder="1" applyAlignment="1" applyProtection="1">
      <alignment horizontal="left" wrapText="1"/>
      <protection locked="0"/>
    </xf>
    <xf numFmtId="0" fontId="4" fillId="0" borderId="0" xfId="0" applyFont="1" applyFill="1" applyAlignment="1">
      <alignment horizontal="left"/>
    </xf>
    <xf numFmtId="0" fontId="3" fillId="3" borderId="46"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8" fillId="36" borderId="59" xfId="0" applyFont="1" applyFill="1" applyBorder="1" applyAlignment="1">
      <alignment horizontal="center"/>
    </xf>
    <xf numFmtId="0" fontId="8" fillId="36" borderId="60" xfId="0" applyFont="1" applyFill="1" applyBorder="1" applyAlignment="1">
      <alignment horizontal="center"/>
    </xf>
    <xf numFmtId="0" fontId="8" fillId="36" borderId="61" xfId="0" applyFont="1" applyFill="1" applyBorder="1" applyAlignment="1">
      <alignment horizontal="center"/>
    </xf>
    <xf numFmtId="0" fontId="2" fillId="36" borderId="59"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60" fillId="3" borderId="59" xfId="0" applyFont="1" applyFill="1" applyBorder="1" applyAlignment="1" applyProtection="1">
      <alignment horizontal="center" vertical="center" wrapText="1"/>
      <protection/>
    </xf>
    <xf numFmtId="0" fontId="60" fillId="3" borderId="60" xfId="0" applyFont="1" applyFill="1" applyBorder="1" applyAlignment="1" applyProtection="1">
      <alignment horizontal="center" vertical="center" wrapText="1"/>
      <protection/>
    </xf>
    <xf numFmtId="0" fontId="60" fillId="3" borderId="61" xfId="0" applyFont="1" applyFill="1" applyBorder="1" applyAlignment="1" applyProtection="1">
      <alignment horizontal="center" vertical="center" wrapText="1"/>
      <protection/>
    </xf>
    <xf numFmtId="0" fontId="61" fillId="3" borderId="60" xfId="0" applyFont="1" applyFill="1" applyBorder="1" applyAlignment="1" applyProtection="1">
      <alignment horizontal="center" vertical="center" wrapText="1"/>
      <protection/>
    </xf>
    <xf numFmtId="0" fontId="61" fillId="3" borderId="61"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7" fillId="35" borderId="87"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60" fillId="0" borderId="0" xfId="0" applyFont="1" applyFill="1" applyBorder="1" applyAlignment="1" applyProtection="1">
      <alignment horizontal="center" vertical="center" wrapText="1"/>
      <protection/>
    </xf>
    <xf numFmtId="0" fontId="61" fillId="0" borderId="0" xfId="0" applyFont="1" applyFill="1" applyBorder="1" applyAlignment="1" applyProtection="1">
      <alignment wrapText="1"/>
      <protection/>
    </xf>
    <xf numFmtId="0" fontId="61" fillId="0" borderId="0"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75" xfId="0" applyFont="1" applyBorder="1" applyAlignment="1" applyProtection="1">
      <alignment horizontal="left" wrapText="1"/>
      <protection locked="0"/>
    </xf>
    <xf numFmtId="0" fontId="2" fillId="0" borderId="65"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0" fillId="4" borderId="0" xfId="0" applyFill="1" applyAlignment="1" applyProtection="1">
      <alignment/>
      <protection/>
    </xf>
    <xf numFmtId="0" fontId="3" fillId="35" borderId="59" xfId="0" applyFont="1" applyFill="1" applyBorder="1" applyAlignment="1" applyProtection="1">
      <alignment horizontal="left"/>
      <protection/>
    </xf>
    <xf numFmtId="0" fontId="3" fillId="35" borderId="60" xfId="0" applyFont="1" applyFill="1" applyBorder="1" applyAlignment="1" applyProtection="1">
      <alignment horizontal="left"/>
      <protection/>
    </xf>
    <xf numFmtId="0" fontId="3" fillId="35" borderId="61" xfId="0" applyFont="1" applyFill="1" applyBorder="1" applyAlignment="1" applyProtection="1">
      <alignment horizontal="left"/>
      <protection/>
    </xf>
    <xf numFmtId="0" fontId="8" fillId="43" borderId="59" xfId="0" applyFont="1" applyFill="1" applyBorder="1" applyAlignment="1" applyProtection="1">
      <alignment horizontal="center" vertical="center" wrapText="1"/>
      <protection/>
    </xf>
    <xf numFmtId="0" fontId="8" fillId="43" borderId="60" xfId="0" applyFont="1" applyFill="1" applyBorder="1" applyAlignment="1" applyProtection="1">
      <alignment horizontal="center" vertical="center" wrapText="1"/>
      <protection/>
    </xf>
    <xf numFmtId="0" fontId="8" fillId="43" borderId="61" xfId="0" applyFont="1" applyFill="1" applyBorder="1" applyAlignment="1" applyProtection="1">
      <alignment horizontal="center" vertical="center" wrapText="1"/>
      <protection/>
    </xf>
    <xf numFmtId="0" fontId="9" fillId="43" borderId="84" xfId="0" applyFont="1" applyFill="1" applyBorder="1" applyAlignment="1" applyProtection="1">
      <alignment horizontal="center" vertical="center" wrapText="1"/>
      <protection/>
    </xf>
    <xf numFmtId="0" fontId="0" fillId="43" borderId="36" xfId="0" applyFill="1" applyBorder="1" applyAlignment="1">
      <alignment horizontal="center" vertical="center" wrapText="1"/>
    </xf>
    <xf numFmtId="0" fontId="0" fillId="43" borderId="85" xfId="0" applyFill="1" applyBorder="1" applyAlignment="1">
      <alignment horizontal="center" vertical="center" wrapText="1"/>
    </xf>
    <xf numFmtId="0" fontId="0" fillId="43" borderId="73" xfId="0" applyFill="1" applyBorder="1" applyAlignment="1">
      <alignment horizontal="center" vertical="center" wrapText="1"/>
    </xf>
    <xf numFmtId="0" fontId="0" fillId="43" borderId="10" xfId="0" applyFill="1" applyBorder="1" applyAlignment="1">
      <alignment horizontal="center" vertical="center" wrapText="1"/>
    </xf>
    <xf numFmtId="0" fontId="0" fillId="43" borderId="86" xfId="0" applyFill="1" applyBorder="1" applyAlignment="1">
      <alignment horizontal="center" vertical="center" wrapText="1"/>
    </xf>
    <xf numFmtId="0" fontId="0" fillId="43" borderId="78" xfId="0" applyFill="1" applyBorder="1" applyAlignment="1">
      <alignment horizontal="center" vertical="center" wrapText="1"/>
    </xf>
    <xf numFmtId="0" fontId="0" fillId="43" borderId="0" xfId="0" applyFill="1" applyBorder="1" applyAlignment="1">
      <alignment horizontal="center" vertical="center" wrapText="1"/>
    </xf>
    <xf numFmtId="0" fontId="0" fillId="43" borderId="32" xfId="0" applyFill="1" applyBorder="1" applyAlignment="1">
      <alignment horizontal="center" vertical="center" wrapText="1"/>
    </xf>
    <xf numFmtId="0" fontId="0" fillId="0" borderId="73"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9" fillId="0" borderId="0" xfId="0" applyFont="1" applyFill="1" applyBorder="1" applyAlignment="1">
      <alignment wrapText="1"/>
    </xf>
    <xf numFmtId="0" fontId="108" fillId="0" borderId="0" xfId="0" applyFont="1" applyAlignment="1" applyProtection="1">
      <alignment wrapText="1"/>
      <protection/>
    </xf>
    <xf numFmtId="0" fontId="109" fillId="0" borderId="0" xfId="0" applyFont="1" applyAlignment="1">
      <alignment wrapText="1"/>
    </xf>
    <xf numFmtId="0" fontId="9" fillId="43" borderId="59" xfId="0" applyFont="1" applyFill="1" applyBorder="1" applyAlignment="1">
      <alignment horizontal="center" vertical="center" wrapText="1"/>
    </xf>
    <xf numFmtId="0" fontId="0" fillId="43" borderId="60" xfId="0" applyFill="1"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10" fillId="0" borderId="0" xfId="0" applyFont="1" applyFill="1" applyAlignment="1" applyProtection="1">
      <alignment horizontal="left" vertical="top" wrapText="1"/>
      <protection/>
    </xf>
    <xf numFmtId="0" fontId="2" fillId="0" borderId="65" xfId="0" applyFont="1" applyBorder="1" applyAlignment="1">
      <alignment horizontal="left" wrapText="1"/>
    </xf>
    <xf numFmtId="0" fontId="2" fillId="0" borderId="89" xfId="0" applyFont="1" applyBorder="1" applyAlignment="1">
      <alignment horizontal="left" wrapText="1"/>
    </xf>
    <xf numFmtId="0" fontId="2" fillId="0" borderId="35" xfId="0" applyFont="1" applyBorder="1" applyAlignment="1">
      <alignment horizontal="left" wrapText="1"/>
    </xf>
    <xf numFmtId="0" fontId="2" fillId="0" borderId="88" xfId="0" applyFont="1" applyBorder="1" applyAlignment="1">
      <alignment horizontal="left" wrapText="1"/>
    </xf>
    <xf numFmtId="0" fontId="0" fillId="0" borderId="35" xfId="0" applyBorder="1" applyAlignment="1">
      <alignment horizontal="left" wrapText="1"/>
    </xf>
    <xf numFmtId="0" fontId="0" fillId="0" borderId="88" xfId="0" applyBorder="1" applyAlignment="1">
      <alignment horizontal="left" wrapText="1"/>
    </xf>
    <xf numFmtId="0" fontId="0" fillId="43" borderId="60" xfId="0" applyFill="1" applyBorder="1" applyAlignment="1">
      <alignment wrapText="1"/>
    </xf>
    <xf numFmtId="0" fontId="0" fillId="43" borderId="61" xfId="0" applyFill="1" applyBorder="1" applyAlignment="1">
      <alignment wrapText="1"/>
    </xf>
    <xf numFmtId="0" fontId="0" fillId="0" borderId="60" xfId="0" applyBorder="1" applyAlignment="1">
      <alignment wrapText="1"/>
    </xf>
    <xf numFmtId="0" fontId="0" fillId="0" borderId="61" xfId="0" applyBorder="1" applyAlignment="1">
      <alignment wrapText="1"/>
    </xf>
    <xf numFmtId="0" fontId="9" fillId="43" borderId="59" xfId="0" applyFont="1" applyFill="1" applyBorder="1" applyAlignment="1" applyProtection="1">
      <alignment horizontal="center" vertical="center" wrapText="1"/>
      <protection/>
    </xf>
    <xf numFmtId="0" fontId="0" fillId="43" borderId="61" xfId="0" applyFill="1" applyBorder="1" applyAlignment="1">
      <alignment horizontal="center" vertical="center" wrapText="1"/>
    </xf>
    <xf numFmtId="0" fontId="8" fillId="5" borderId="84"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0" borderId="85" xfId="0" applyBorder="1" applyAlignment="1">
      <alignment horizontal="center" vertical="center"/>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2"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8" fillId="5" borderId="46" xfId="0" applyFont="1" applyFill="1" applyBorder="1" applyAlignment="1" applyProtection="1">
      <alignment horizontal="center" vertical="center" wrapText="1"/>
      <protection/>
    </xf>
    <xf numFmtId="0" fontId="0" fillId="5" borderId="53"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8" fillId="5" borderId="59" xfId="0" applyFont="1" applyFill="1" applyBorder="1" applyAlignment="1" applyProtection="1">
      <alignment horizontal="center" vertical="center" wrapText="1"/>
      <protection/>
    </xf>
    <xf numFmtId="0" fontId="8" fillId="5" borderId="60" xfId="0" applyFont="1" applyFill="1" applyBorder="1" applyAlignment="1" applyProtection="1">
      <alignment horizontal="center" vertical="center" wrapText="1"/>
      <protection/>
    </xf>
    <xf numFmtId="0" fontId="8" fillId="5" borderId="61"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36" xfId="0" applyBorder="1" applyAlignment="1">
      <alignment horizontal="center" vertical="center" wrapText="1"/>
    </xf>
    <xf numFmtId="0" fontId="0" fillId="0" borderId="85" xfId="0" applyBorder="1" applyAlignment="1">
      <alignment horizontal="center" vertical="center" wrapText="1"/>
    </xf>
    <xf numFmtId="0" fontId="111" fillId="0" borderId="0" xfId="0" applyFont="1" applyFill="1" applyAlignment="1" applyProtection="1">
      <alignment horizontal="left" vertical="top" wrapText="1"/>
      <protection/>
    </xf>
    <xf numFmtId="0" fontId="8" fillId="32" borderId="59" xfId="0" applyFont="1" applyFill="1" applyBorder="1" applyAlignment="1" applyProtection="1">
      <alignment horizontal="center" vertical="center" wrapText="1"/>
      <protection/>
    </xf>
    <xf numFmtId="0" fontId="8" fillId="32" borderId="60" xfId="0" applyFont="1" applyFill="1" applyBorder="1" applyAlignment="1" applyProtection="1">
      <alignment horizontal="center" vertical="center" wrapText="1"/>
      <protection/>
    </xf>
    <xf numFmtId="0" fontId="8" fillId="32" borderId="61"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2" borderId="84"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2" fillId="0" borderId="0" xfId="0" applyFont="1" applyFill="1" applyAlignment="1" applyProtection="1">
      <alignment horizontal="left" vertical="top" wrapText="1"/>
      <protection/>
    </xf>
    <xf numFmtId="0" fontId="62" fillId="0" borderId="10" xfId="0" applyFont="1" applyBorder="1" applyAlignment="1" applyProtection="1">
      <alignment horizontal="right"/>
      <protection/>
    </xf>
    <xf numFmtId="0" fontId="4" fillId="4" borderId="0" xfId="0" applyFont="1" applyFill="1" applyAlignment="1">
      <alignment/>
    </xf>
    <xf numFmtId="0" fontId="0" fillId="4" borderId="0" xfId="0" applyFont="1" applyFill="1" applyAlignment="1">
      <alignment/>
    </xf>
    <xf numFmtId="0" fontId="3" fillId="35" borderId="59"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3" fillId="35" borderId="59"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8" fillId="0" borderId="59" xfId="0" applyFont="1" applyBorder="1" applyAlignment="1">
      <alignment horizontal="left" wrapText="1"/>
    </xf>
    <xf numFmtId="0" fontId="8" fillId="0" borderId="60" xfId="0" applyFont="1" applyBorder="1" applyAlignment="1">
      <alignment horizontal="left" wrapText="1"/>
    </xf>
    <xf numFmtId="0" fontId="8" fillId="0" borderId="61" xfId="0" applyFont="1" applyBorder="1" applyAlignment="1">
      <alignment horizontal="left" wrapText="1"/>
    </xf>
    <xf numFmtId="0" fontId="8" fillId="0" borderId="37" xfId="0" applyFont="1" applyBorder="1" applyAlignment="1" applyProtection="1">
      <alignment wrapText="1"/>
      <protection locked="0"/>
    </xf>
    <xf numFmtId="0" fontId="8" fillId="0" borderId="35"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8" xfId="0" applyFont="1" applyBorder="1" applyAlignment="1" applyProtection="1">
      <alignment wrapText="1"/>
      <protection locked="0"/>
    </xf>
    <xf numFmtId="0" fontId="8" fillId="0" borderId="75" xfId="0" applyFont="1" applyBorder="1" applyAlignment="1" applyProtection="1">
      <alignment wrapText="1"/>
      <protection locked="0"/>
    </xf>
    <xf numFmtId="0" fontId="0" fillId="0" borderId="65" xfId="0" applyBorder="1" applyAlignment="1" applyProtection="1">
      <alignment wrapText="1"/>
      <protection locked="0"/>
    </xf>
    <xf numFmtId="0" fontId="0" fillId="0" borderId="89" xfId="0" applyBorder="1" applyAlignment="1" applyProtection="1">
      <alignment wrapText="1"/>
      <protection locked="0"/>
    </xf>
    <xf numFmtId="0" fontId="0" fillId="0" borderId="35" xfId="0" applyBorder="1" applyAlignment="1" applyProtection="1">
      <alignment wrapText="1"/>
      <protection locked="0"/>
    </xf>
    <xf numFmtId="0" fontId="0" fillId="0" borderId="88" xfId="0"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dxfs count="36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10</xdr:col>
      <xdr:colOff>1152525</xdr:colOff>
      <xdr:row>0</xdr:row>
      <xdr:rowOff>85725</xdr:rowOff>
    </xdr:from>
    <xdr:to>
      <xdr:col>12</xdr:col>
      <xdr:colOff>600075</xdr:colOff>
      <xdr:row>5</xdr:row>
      <xdr:rowOff>123825</xdr:rowOff>
    </xdr:to>
    <xdr:pic>
      <xdr:nvPicPr>
        <xdr:cNvPr id="2" name="Picture 1"/>
        <xdr:cNvPicPr preferRelativeResize="1">
          <a:picLocks noChangeAspect="1"/>
        </xdr:cNvPicPr>
      </xdr:nvPicPr>
      <xdr:blipFill>
        <a:blip r:embed="rId2"/>
        <a:stretch>
          <a:fillRect/>
        </a:stretch>
      </xdr:blipFill>
      <xdr:spPr>
        <a:xfrm>
          <a:off x="8210550" y="85725"/>
          <a:ext cx="12096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17</xdr:row>
      <xdr:rowOff>19050</xdr:rowOff>
    </xdr:from>
    <xdr:to>
      <xdr:col>4</xdr:col>
      <xdr:colOff>504825</xdr:colOff>
      <xdr:row>18</xdr:row>
      <xdr:rowOff>19050</xdr:rowOff>
    </xdr:to>
    <xdr:sp>
      <xdr:nvSpPr>
        <xdr:cNvPr id="1" name="Line 213"/>
        <xdr:cNvSpPr>
          <a:spLocks/>
        </xdr:cNvSpPr>
      </xdr:nvSpPr>
      <xdr:spPr>
        <a:xfrm>
          <a:off x="1962150" y="56483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1219200</xdr:colOff>
      <xdr:row>18</xdr:row>
      <xdr:rowOff>295275</xdr:rowOff>
    </xdr:from>
    <xdr:to>
      <xdr:col>12</xdr:col>
      <xdr:colOff>247650</xdr:colOff>
      <xdr:row>18</xdr:row>
      <xdr:rowOff>295275</xdr:rowOff>
    </xdr:to>
    <xdr:sp>
      <xdr:nvSpPr>
        <xdr:cNvPr id="2" name="Line 4"/>
        <xdr:cNvSpPr>
          <a:spLocks/>
        </xdr:cNvSpPr>
      </xdr:nvSpPr>
      <xdr:spPr>
        <a:xfrm flipV="1">
          <a:off x="9363075" y="62007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3" name="Line 7"/>
        <xdr:cNvSpPr>
          <a:spLocks/>
        </xdr:cNvSpPr>
      </xdr:nvSpPr>
      <xdr:spPr>
        <a:xfrm flipV="1">
          <a:off x="1485900" y="30670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4" name="Line 8"/>
        <xdr:cNvSpPr>
          <a:spLocks/>
        </xdr:cNvSpPr>
      </xdr:nvSpPr>
      <xdr:spPr>
        <a:xfrm>
          <a:off x="3057525" y="23907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18</xdr:row>
      <xdr:rowOff>295275</xdr:rowOff>
    </xdr:from>
    <xdr:to>
      <xdr:col>12</xdr:col>
      <xdr:colOff>219075</xdr:colOff>
      <xdr:row>24</xdr:row>
      <xdr:rowOff>266700</xdr:rowOff>
    </xdr:to>
    <xdr:sp>
      <xdr:nvSpPr>
        <xdr:cNvPr id="5" name="Line 9"/>
        <xdr:cNvSpPr>
          <a:spLocks/>
        </xdr:cNvSpPr>
      </xdr:nvSpPr>
      <xdr:spPr>
        <a:xfrm flipH="1">
          <a:off x="9715500" y="6200775"/>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200025</xdr:rowOff>
    </xdr:from>
    <xdr:to>
      <xdr:col>10</xdr:col>
      <xdr:colOff>561975</xdr:colOff>
      <xdr:row>15</xdr:row>
      <xdr:rowOff>200025</xdr:rowOff>
    </xdr:to>
    <xdr:sp>
      <xdr:nvSpPr>
        <xdr:cNvPr id="6" name="Line 10"/>
        <xdr:cNvSpPr>
          <a:spLocks/>
        </xdr:cNvSpPr>
      </xdr:nvSpPr>
      <xdr:spPr>
        <a:xfrm flipH="1" flipV="1">
          <a:off x="800100" y="4324350"/>
          <a:ext cx="79057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323850</xdr:rowOff>
    </xdr:from>
    <xdr:to>
      <xdr:col>19</xdr:col>
      <xdr:colOff>9525</xdr:colOff>
      <xdr:row>30</xdr:row>
      <xdr:rowOff>323850</xdr:rowOff>
    </xdr:to>
    <xdr:sp>
      <xdr:nvSpPr>
        <xdr:cNvPr id="7" name="Line 35"/>
        <xdr:cNvSpPr>
          <a:spLocks/>
        </xdr:cNvSpPr>
      </xdr:nvSpPr>
      <xdr:spPr>
        <a:xfrm flipH="1" flipV="1">
          <a:off x="14630400" y="6229350"/>
          <a:ext cx="0" cy="42767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8" name="Line 49"/>
        <xdr:cNvSpPr>
          <a:spLocks/>
        </xdr:cNvSpPr>
      </xdr:nvSpPr>
      <xdr:spPr>
        <a:xfrm flipV="1">
          <a:off x="9496425" y="8820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9" name="Line 56"/>
        <xdr:cNvSpPr>
          <a:spLocks/>
        </xdr:cNvSpPr>
      </xdr:nvSpPr>
      <xdr:spPr>
        <a:xfrm flipV="1">
          <a:off x="16868775" y="94011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10" name="Line 57"/>
        <xdr:cNvSpPr>
          <a:spLocks/>
        </xdr:cNvSpPr>
      </xdr:nvSpPr>
      <xdr:spPr>
        <a:xfrm>
          <a:off x="16868775" y="100869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276225</xdr:rowOff>
    </xdr:from>
    <xdr:to>
      <xdr:col>12</xdr:col>
      <xdr:colOff>238125</xdr:colOff>
      <xdr:row>20</xdr:row>
      <xdr:rowOff>276225</xdr:rowOff>
    </xdr:to>
    <xdr:sp>
      <xdr:nvSpPr>
        <xdr:cNvPr id="11" name="Line 73"/>
        <xdr:cNvSpPr>
          <a:spLocks/>
        </xdr:cNvSpPr>
      </xdr:nvSpPr>
      <xdr:spPr>
        <a:xfrm flipV="1">
          <a:off x="9391650" y="69151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8097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3" name="Line 203"/>
        <xdr:cNvSpPr>
          <a:spLocks/>
        </xdr:cNvSpPr>
      </xdr:nvSpPr>
      <xdr:spPr>
        <a:xfrm flipV="1">
          <a:off x="4105275" y="1809750"/>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209550</xdr:rowOff>
    </xdr:from>
    <xdr:to>
      <xdr:col>13</xdr:col>
      <xdr:colOff>142875</xdr:colOff>
      <xdr:row>22</xdr:row>
      <xdr:rowOff>209550</xdr:rowOff>
    </xdr:to>
    <xdr:sp>
      <xdr:nvSpPr>
        <xdr:cNvPr id="14" name="Line 204"/>
        <xdr:cNvSpPr>
          <a:spLocks/>
        </xdr:cNvSpPr>
      </xdr:nvSpPr>
      <xdr:spPr>
        <a:xfrm flipV="1">
          <a:off x="9715500" y="7524750"/>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5" name="Line 205"/>
        <xdr:cNvSpPr>
          <a:spLocks/>
        </xdr:cNvSpPr>
      </xdr:nvSpPr>
      <xdr:spPr>
        <a:xfrm>
          <a:off x="3067050" y="3438525"/>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6" name="Line 206"/>
        <xdr:cNvSpPr>
          <a:spLocks/>
        </xdr:cNvSpPr>
      </xdr:nvSpPr>
      <xdr:spPr>
        <a:xfrm>
          <a:off x="809625" y="43148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209550</xdr:rowOff>
    </xdr:from>
    <xdr:to>
      <xdr:col>4</xdr:col>
      <xdr:colOff>476250</xdr:colOff>
      <xdr:row>16</xdr:row>
      <xdr:rowOff>0</xdr:rowOff>
    </xdr:to>
    <xdr:sp>
      <xdr:nvSpPr>
        <xdr:cNvPr id="17" name="Line 207"/>
        <xdr:cNvSpPr>
          <a:spLocks/>
        </xdr:cNvSpPr>
      </xdr:nvSpPr>
      <xdr:spPr>
        <a:xfrm>
          <a:off x="1933575" y="43338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200025</xdr:rowOff>
    </xdr:from>
    <xdr:to>
      <xdr:col>5</xdr:col>
      <xdr:colOff>533400</xdr:colOff>
      <xdr:row>16</xdr:row>
      <xdr:rowOff>0</xdr:rowOff>
    </xdr:to>
    <xdr:sp>
      <xdr:nvSpPr>
        <xdr:cNvPr id="18" name="Line 208"/>
        <xdr:cNvSpPr>
          <a:spLocks/>
        </xdr:cNvSpPr>
      </xdr:nvSpPr>
      <xdr:spPr>
        <a:xfrm>
          <a:off x="3076575" y="43243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19" name="Line 209"/>
        <xdr:cNvSpPr>
          <a:spLocks/>
        </xdr:cNvSpPr>
      </xdr:nvSpPr>
      <xdr:spPr>
        <a:xfrm>
          <a:off x="4171950" y="43148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200025</xdr:rowOff>
    </xdr:from>
    <xdr:to>
      <xdr:col>9</xdr:col>
      <xdr:colOff>514350</xdr:colOff>
      <xdr:row>16</xdr:row>
      <xdr:rowOff>9525</xdr:rowOff>
    </xdr:to>
    <xdr:sp>
      <xdr:nvSpPr>
        <xdr:cNvPr id="20" name="Line 210"/>
        <xdr:cNvSpPr>
          <a:spLocks/>
        </xdr:cNvSpPr>
      </xdr:nvSpPr>
      <xdr:spPr>
        <a:xfrm>
          <a:off x="7562850" y="43243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21" name="Line 211"/>
        <xdr:cNvSpPr>
          <a:spLocks/>
        </xdr:cNvSpPr>
      </xdr:nvSpPr>
      <xdr:spPr>
        <a:xfrm>
          <a:off x="8686800" y="43148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2" name="Line 212"/>
        <xdr:cNvSpPr>
          <a:spLocks/>
        </xdr:cNvSpPr>
      </xdr:nvSpPr>
      <xdr:spPr>
        <a:xfrm>
          <a:off x="828675" y="56292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3" name="Line 214"/>
        <xdr:cNvSpPr>
          <a:spLocks/>
        </xdr:cNvSpPr>
      </xdr:nvSpPr>
      <xdr:spPr>
        <a:xfrm>
          <a:off x="311467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4" name="Line 215"/>
        <xdr:cNvSpPr>
          <a:spLocks/>
        </xdr:cNvSpPr>
      </xdr:nvSpPr>
      <xdr:spPr>
        <a:xfrm>
          <a:off x="420052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542925</xdr:colOff>
      <xdr:row>17</xdr:row>
      <xdr:rowOff>9525</xdr:rowOff>
    </xdr:from>
    <xdr:to>
      <xdr:col>9</xdr:col>
      <xdr:colOff>542925</xdr:colOff>
      <xdr:row>18</xdr:row>
      <xdr:rowOff>9525</xdr:rowOff>
    </xdr:to>
    <xdr:sp>
      <xdr:nvSpPr>
        <xdr:cNvPr id="25" name="Line 216"/>
        <xdr:cNvSpPr>
          <a:spLocks/>
        </xdr:cNvSpPr>
      </xdr:nvSpPr>
      <xdr:spPr>
        <a:xfrm flipH="1">
          <a:off x="7591425" y="56388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17</xdr:row>
      <xdr:rowOff>0</xdr:rowOff>
    </xdr:from>
    <xdr:to>
      <xdr:col>10</xdr:col>
      <xdr:colOff>552450</xdr:colOff>
      <xdr:row>18</xdr:row>
      <xdr:rowOff>9525</xdr:rowOff>
    </xdr:to>
    <xdr:sp>
      <xdr:nvSpPr>
        <xdr:cNvPr id="26" name="Line 217"/>
        <xdr:cNvSpPr>
          <a:spLocks/>
        </xdr:cNvSpPr>
      </xdr:nvSpPr>
      <xdr:spPr>
        <a:xfrm>
          <a:off x="869632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304800</xdr:rowOff>
    </xdr:from>
    <xdr:to>
      <xdr:col>12</xdr:col>
      <xdr:colOff>219075</xdr:colOff>
      <xdr:row>22</xdr:row>
      <xdr:rowOff>304800</xdr:rowOff>
    </xdr:to>
    <xdr:sp>
      <xdr:nvSpPr>
        <xdr:cNvPr id="27" name="Line 218"/>
        <xdr:cNvSpPr>
          <a:spLocks/>
        </xdr:cNvSpPr>
      </xdr:nvSpPr>
      <xdr:spPr>
        <a:xfrm>
          <a:off x="9382125" y="76200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24</xdr:row>
      <xdr:rowOff>219075</xdr:rowOff>
    </xdr:from>
    <xdr:to>
      <xdr:col>12</xdr:col>
      <xdr:colOff>247650</xdr:colOff>
      <xdr:row>24</xdr:row>
      <xdr:rowOff>219075</xdr:rowOff>
    </xdr:to>
    <xdr:sp>
      <xdr:nvSpPr>
        <xdr:cNvPr id="28" name="Line 219"/>
        <xdr:cNvSpPr>
          <a:spLocks/>
        </xdr:cNvSpPr>
      </xdr:nvSpPr>
      <xdr:spPr>
        <a:xfrm>
          <a:off x="9401175" y="82296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209550</xdr:rowOff>
    </xdr:from>
    <xdr:to>
      <xdr:col>15</xdr:col>
      <xdr:colOff>390525</xdr:colOff>
      <xdr:row>25</xdr:row>
      <xdr:rowOff>28575</xdr:rowOff>
    </xdr:to>
    <xdr:sp>
      <xdr:nvSpPr>
        <xdr:cNvPr id="29" name="Line 223"/>
        <xdr:cNvSpPr>
          <a:spLocks/>
        </xdr:cNvSpPr>
      </xdr:nvSpPr>
      <xdr:spPr>
        <a:xfrm>
          <a:off x="11953875" y="7524750"/>
          <a:ext cx="0" cy="1066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209550</xdr:rowOff>
    </xdr:to>
    <xdr:sp>
      <xdr:nvSpPr>
        <xdr:cNvPr id="30" name="Line 224"/>
        <xdr:cNvSpPr>
          <a:spLocks/>
        </xdr:cNvSpPr>
      </xdr:nvSpPr>
      <xdr:spPr>
        <a:xfrm flipV="1">
          <a:off x="11591925" y="7524750"/>
          <a:ext cx="762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3449300" y="7505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4630400" y="8277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4639925" y="89535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314325</xdr:colOff>
      <xdr:row>30</xdr:row>
      <xdr:rowOff>314325</xdr:rowOff>
    </xdr:to>
    <xdr:sp>
      <xdr:nvSpPr>
        <xdr:cNvPr id="34" name="Line 233"/>
        <xdr:cNvSpPr>
          <a:spLocks/>
        </xdr:cNvSpPr>
      </xdr:nvSpPr>
      <xdr:spPr>
        <a:xfrm>
          <a:off x="14630400" y="104965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19050</xdr:rowOff>
    </xdr:from>
    <xdr:to>
      <xdr:col>6</xdr:col>
      <xdr:colOff>190500</xdr:colOff>
      <xdr:row>15</xdr:row>
      <xdr:rowOff>200025</xdr:rowOff>
    </xdr:to>
    <xdr:sp>
      <xdr:nvSpPr>
        <xdr:cNvPr id="35" name="Line 247"/>
        <xdr:cNvSpPr>
          <a:spLocks/>
        </xdr:cNvSpPr>
      </xdr:nvSpPr>
      <xdr:spPr>
        <a:xfrm flipH="1" flipV="1">
          <a:off x="3838575" y="41433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6" name="Line 248"/>
        <xdr:cNvSpPr>
          <a:spLocks/>
        </xdr:cNvSpPr>
      </xdr:nvSpPr>
      <xdr:spPr>
        <a:xfrm flipV="1">
          <a:off x="14639925" y="76200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209550</xdr:rowOff>
    </xdr:from>
    <xdr:to>
      <xdr:col>8</xdr:col>
      <xdr:colOff>0</xdr:colOff>
      <xdr:row>10</xdr:row>
      <xdr:rowOff>209550</xdr:rowOff>
    </xdr:to>
    <xdr:sp>
      <xdr:nvSpPr>
        <xdr:cNvPr id="37" name="Line 14"/>
        <xdr:cNvSpPr>
          <a:spLocks/>
        </xdr:cNvSpPr>
      </xdr:nvSpPr>
      <xdr:spPr>
        <a:xfrm flipV="1">
          <a:off x="5143500" y="26003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371475</xdr:colOff>
      <xdr:row>10</xdr:row>
      <xdr:rowOff>200025</xdr:rowOff>
    </xdr:from>
    <xdr:to>
      <xdr:col>7</xdr:col>
      <xdr:colOff>371475</xdr:colOff>
      <xdr:row>12</xdr:row>
      <xdr:rowOff>247650</xdr:rowOff>
    </xdr:to>
    <xdr:sp>
      <xdr:nvSpPr>
        <xdr:cNvPr id="38" name="Line 14"/>
        <xdr:cNvSpPr>
          <a:spLocks/>
        </xdr:cNvSpPr>
      </xdr:nvSpPr>
      <xdr:spPr>
        <a:xfrm flipV="1">
          <a:off x="5153025" y="2590800"/>
          <a:ext cx="0" cy="10953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39" name="Line 14"/>
        <xdr:cNvSpPr>
          <a:spLocks/>
        </xdr:cNvSpPr>
      </xdr:nvSpPr>
      <xdr:spPr>
        <a:xfrm flipV="1">
          <a:off x="5162550" y="367665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342900</xdr:rowOff>
    </xdr:to>
    <xdr:sp>
      <xdr:nvSpPr>
        <xdr:cNvPr id="40" name="Line 248"/>
        <xdr:cNvSpPr>
          <a:spLocks/>
        </xdr:cNvSpPr>
      </xdr:nvSpPr>
      <xdr:spPr>
        <a:xfrm flipV="1">
          <a:off x="14639925" y="69723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1" name="Line 14"/>
        <xdr:cNvSpPr>
          <a:spLocks/>
        </xdr:cNvSpPr>
      </xdr:nvSpPr>
      <xdr:spPr>
        <a:xfrm flipV="1">
          <a:off x="3629025" y="3114675"/>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2" name="Line 248"/>
        <xdr:cNvSpPr>
          <a:spLocks/>
        </xdr:cNvSpPr>
      </xdr:nvSpPr>
      <xdr:spPr>
        <a:xfrm flipV="1">
          <a:off x="14639925" y="76200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3" name="Line 248"/>
        <xdr:cNvSpPr>
          <a:spLocks/>
        </xdr:cNvSpPr>
      </xdr:nvSpPr>
      <xdr:spPr>
        <a:xfrm flipV="1">
          <a:off x="14639925" y="69723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4" name="Line 248"/>
        <xdr:cNvSpPr>
          <a:spLocks/>
        </xdr:cNvSpPr>
      </xdr:nvSpPr>
      <xdr:spPr>
        <a:xfrm flipV="1">
          <a:off x="14639925" y="62388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5" name="Line 233"/>
        <xdr:cNvSpPr>
          <a:spLocks/>
        </xdr:cNvSpPr>
      </xdr:nvSpPr>
      <xdr:spPr>
        <a:xfrm>
          <a:off x="14639925" y="98107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209550</xdr:rowOff>
    </xdr:from>
    <xdr:to>
      <xdr:col>8</xdr:col>
      <xdr:colOff>571500</xdr:colOff>
      <xdr:row>16</xdr:row>
      <xdr:rowOff>19050</xdr:rowOff>
    </xdr:to>
    <xdr:sp>
      <xdr:nvSpPr>
        <xdr:cNvPr id="46" name="Line 209"/>
        <xdr:cNvSpPr>
          <a:spLocks/>
        </xdr:cNvSpPr>
      </xdr:nvSpPr>
      <xdr:spPr>
        <a:xfrm>
          <a:off x="6486525" y="43338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7" name="Line 209"/>
        <xdr:cNvSpPr>
          <a:spLocks/>
        </xdr:cNvSpPr>
      </xdr:nvSpPr>
      <xdr:spPr>
        <a:xfrm>
          <a:off x="5334000" y="43529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48" name="Line 215"/>
        <xdr:cNvSpPr>
          <a:spLocks/>
        </xdr:cNvSpPr>
      </xdr:nvSpPr>
      <xdr:spPr>
        <a:xfrm>
          <a:off x="5334000"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49" name="Line 215"/>
        <xdr:cNvSpPr>
          <a:spLocks/>
        </xdr:cNvSpPr>
      </xdr:nvSpPr>
      <xdr:spPr>
        <a:xfrm>
          <a:off x="6486525" y="562927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6198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886200" y="61817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53175" y="72390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7722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7627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48475" y="77914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05300" y="73437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133725" y="99917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143250" y="104108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133725" y="108870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143250" y="121824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143250" y="12744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133725" y="133731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495800" y="9382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724400" y="9391650"/>
          <a:ext cx="0" cy="3171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514850" y="102584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524375" y="10896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524375" y="125634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752975" y="107537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381375" y="9601200"/>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133350</xdr:rowOff>
    </xdr:from>
    <xdr:to>
      <xdr:col>23</xdr:col>
      <xdr:colOff>209550</xdr:colOff>
      <xdr:row>49</xdr:row>
      <xdr:rowOff>133350</xdr:rowOff>
    </xdr:to>
    <xdr:sp>
      <xdr:nvSpPr>
        <xdr:cNvPr id="14" name="Line 21"/>
        <xdr:cNvSpPr>
          <a:spLocks/>
        </xdr:cNvSpPr>
      </xdr:nvSpPr>
      <xdr:spPr>
        <a:xfrm flipV="1">
          <a:off x="6886575" y="10734675"/>
          <a:ext cx="1114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7981950" y="10277475"/>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7981950" y="11277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001000" y="116967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7991475" y="1327785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7981950" y="121253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7981950" y="126587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16</xdr:col>
      <xdr:colOff>0</xdr:colOff>
      <xdr:row>58</xdr:row>
      <xdr:rowOff>19050</xdr:rowOff>
    </xdr:to>
    <xdr:grpSp>
      <xdr:nvGrpSpPr>
        <xdr:cNvPr id="21" name="Group 2"/>
        <xdr:cNvGrpSpPr>
          <a:grpSpLocks/>
        </xdr:cNvGrpSpPr>
      </xdr:nvGrpSpPr>
      <xdr:grpSpPr>
        <a:xfrm>
          <a:off x="5857875" y="10753725"/>
          <a:ext cx="457200" cy="182880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133725" y="113538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143250" y="117729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7991475" y="1030605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7972425" y="107918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954405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9544050"/>
          <a:ext cx="0" cy="1924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86425" y="958215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572250" y="8848725"/>
          <a:ext cx="0" cy="2876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572250" y="8848725"/>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81775" y="94488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81775" y="103155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91300" y="111918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6581775" y="117062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91300" y="98869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72250" y="10725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115175" y="10848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zoomScalePageLayoutView="0" workbookViewId="0" topLeftCell="A1">
      <selection activeCell="A1" sqref="A1"/>
    </sheetView>
  </sheetViews>
  <sheetFormatPr defaultColWidth="12"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92" customWidth="1"/>
  </cols>
  <sheetData>
    <row r="1" ht="12.75"/>
    <row r="2" ht="12.75"/>
    <row r="3" ht="12.75"/>
    <row r="4" ht="12.75"/>
    <row r="5" ht="12.75"/>
    <row r="6" ht="22.5" customHeight="1">
      <c r="B6" s="102" t="s">
        <v>391</v>
      </c>
    </row>
    <row r="7" spans="2:13" ht="24.75" customHeight="1">
      <c r="B7" s="714" t="s">
        <v>636</v>
      </c>
      <c r="C7" s="714"/>
      <c r="D7" s="714"/>
      <c r="E7" s="714"/>
      <c r="F7" s="714"/>
      <c r="G7" s="714"/>
      <c r="H7" s="714"/>
      <c r="I7" s="714"/>
      <c r="J7" s="714"/>
      <c r="K7" s="714"/>
      <c r="L7" s="714"/>
      <c r="M7" s="714"/>
    </row>
    <row r="8" spans="2:13" ht="24.75" customHeight="1">
      <c r="B8" s="715" t="s">
        <v>572</v>
      </c>
      <c r="C8" s="715"/>
      <c r="D8" s="715"/>
      <c r="E8" s="715"/>
      <c r="F8" s="715"/>
      <c r="G8" s="715"/>
      <c r="H8" s="715"/>
      <c r="I8" s="715"/>
      <c r="J8" s="715"/>
      <c r="K8" s="715"/>
      <c r="L8" s="715"/>
      <c r="M8" s="715"/>
    </row>
    <row r="10" spans="2:4" ht="18">
      <c r="B10" s="121" t="s">
        <v>165</v>
      </c>
      <c r="C10" s="122"/>
      <c r="D10" s="3"/>
    </row>
    <row r="11" spans="2:4" ht="10.5" customHeight="1">
      <c r="B11" s="4"/>
      <c r="C11" s="3"/>
      <c r="D11" s="3"/>
    </row>
    <row r="12" spans="1:13" s="24" customFormat="1" ht="16.5" customHeight="1">
      <c r="A12" s="19"/>
      <c r="B12" s="716" t="s">
        <v>166</v>
      </c>
      <c r="C12" s="716"/>
      <c r="D12" s="716"/>
      <c r="E12" s="716"/>
      <c r="F12" s="716"/>
      <c r="G12" s="716"/>
      <c r="H12" s="716"/>
      <c r="I12" s="716"/>
      <c r="J12" s="716"/>
      <c r="K12" s="716"/>
      <c r="L12" s="716"/>
      <c r="M12" s="716"/>
    </row>
    <row r="13" spans="2:13" ht="10.5" customHeight="1">
      <c r="B13" s="123"/>
      <c r="C13" s="124"/>
      <c r="D13" s="123"/>
      <c r="E13" s="10"/>
      <c r="F13" s="123"/>
      <c r="G13" s="56"/>
      <c r="H13" s="56"/>
      <c r="I13" s="56"/>
      <c r="J13" s="56"/>
      <c r="K13" s="56"/>
      <c r="L13" s="650"/>
      <c r="M13" s="651"/>
    </row>
    <row r="14" spans="2:11" ht="15.75" customHeight="1">
      <c r="B14" s="125" t="s">
        <v>167</v>
      </c>
      <c r="C14" s="709" t="s">
        <v>168</v>
      </c>
      <c r="D14" s="710"/>
      <c r="E14" s="710"/>
      <c r="F14" s="710"/>
      <c r="G14" s="710"/>
      <c r="H14" s="710"/>
      <c r="I14" s="710"/>
      <c r="J14" s="710"/>
      <c r="K14" s="711"/>
    </row>
    <row r="15" spans="2:11" ht="7.5" customHeight="1">
      <c r="B15" s="126"/>
      <c r="C15" s="707"/>
      <c r="D15" s="712"/>
      <c r="E15" s="712"/>
      <c r="F15" s="712"/>
      <c r="G15" s="712"/>
      <c r="H15" s="712"/>
      <c r="I15" s="712"/>
      <c r="J15" s="712"/>
      <c r="K15" s="713"/>
    </row>
    <row r="16" spans="2:11" ht="15.75" customHeight="1">
      <c r="B16" s="126" t="s">
        <v>169</v>
      </c>
      <c r="C16" s="707" t="s">
        <v>170</v>
      </c>
      <c r="D16" s="712"/>
      <c r="E16" s="712"/>
      <c r="F16" s="712"/>
      <c r="G16" s="712"/>
      <c r="H16" s="712"/>
      <c r="I16" s="712"/>
      <c r="J16" s="712"/>
      <c r="K16" s="713"/>
    </row>
    <row r="17" spans="2:11" ht="7.5" customHeight="1">
      <c r="B17" s="126"/>
      <c r="C17" s="707"/>
      <c r="D17" s="712"/>
      <c r="E17" s="712"/>
      <c r="F17" s="712"/>
      <c r="G17" s="712"/>
      <c r="H17" s="712"/>
      <c r="I17" s="712"/>
      <c r="J17" s="712"/>
      <c r="K17" s="713"/>
    </row>
    <row r="18" spans="2:12" ht="15.75" customHeight="1">
      <c r="B18" s="126" t="s">
        <v>171</v>
      </c>
      <c r="C18" s="707" t="s">
        <v>177</v>
      </c>
      <c r="D18" s="708"/>
      <c r="E18" s="708"/>
      <c r="F18" s="708"/>
      <c r="G18" s="708"/>
      <c r="H18" s="708"/>
      <c r="I18" s="708"/>
      <c r="J18" s="708"/>
      <c r="K18" s="708"/>
      <c r="L18" s="92" t="s">
        <v>442</v>
      </c>
    </row>
    <row r="19" spans="2:11" ht="7.5" customHeight="1">
      <c r="B19" s="126"/>
      <c r="C19" s="707"/>
      <c r="D19" s="712"/>
      <c r="E19" s="712"/>
      <c r="F19" s="712"/>
      <c r="G19" s="712"/>
      <c r="H19" s="712"/>
      <c r="I19" s="712"/>
      <c r="J19" s="712"/>
      <c r="K19" s="713"/>
    </row>
    <row r="20" spans="2:12" ht="15.75" customHeight="1">
      <c r="B20" s="126" t="s">
        <v>172</v>
      </c>
      <c r="C20" s="707" t="s">
        <v>179</v>
      </c>
      <c r="D20" s="708"/>
      <c r="E20" s="708"/>
      <c r="F20" s="708"/>
      <c r="G20" s="708"/>
      <c r="H20" s="708"/>
      <c r="I20" s="708"/>
      <c r="J20" s="708"/>
      <c r="K20" s="708"/>
      <c r="L20" s="92" t="s">
        <v>549</v>
      </c>
    </row>
    <row r="21" spans="2:11" ht="7.5" customHeight="1">
      <c r="B21" s="126"/>
      <c r="C21" s="707"/>
      <c r="D21" s="712"/>
      <c r="E21" s="712"/>
      <c r="F21" s="712"/>
      <c r="G21" s="712"/>
      <c r="H21" s="712"/>
      <c r="I21" s="712"/>
      <c r="J21" s="712"/>
      <c r="K21" s="713"/>
    </row>
    <row r="22" spans="2:12" ht="15.75" customHeight="1">
      <c r="B22" s="126" t="s">
        <v>173</v>
      </c>
      <c r="C22" s="707" t="s">
        <v>234</v>
      </c>
      <c r="D22" s="708"/>
      <c r="E22" s="708"/>
      <c r="F22" s="708"/>
      <c r="G22" s="708"/>
      <c r="H22" s="708"/>
      <c r="I22" s="708"/>
      <c r="J22" s="708"/>
      <c r="K22" s="708"/>
      <c r="L22" s="92" t="s">
        <v>445</v>
      </c>
    </row>
    <row r="23" spans="2:11" ht="7.5" customHeight="1">
      <c r="B23" s="126"/>
      <c r="C23" s="707"/>
      <c r="D23" s="712"/>
      <c r="E23" s="712"/>
      <c r="F23" s="712"/>
      <c r="G23" s="712"/>
      <c r="H23" s="712"/>
      <c r="I23" s="712"/>
      <c r="J23" s="712"/>
      <c r="K23" s="713"/>
    </row>
    <row r="24" spans="2:12" ht="15.75" customHeight="1">
      <c r="B24" s="126" t="s">
        <v>174</v>
      </c>
      <c r="C24" s="707" t="s">
        <v>178</v>
      </c>
      <c r="D24" s="712"/>
      <c r="E24" s="712"/>
      <c r="F24" s="712"/>
      <c r="G24" s="712"/>
      <c r="H24" s="712"/>
      <c r="I24" s="712"/>
      <c r="J24" s="712"/>
      <c r="K24" s="713"/>
      <c r="L24" s="92" t="s">
        <v>414</v>
      </c>
    </row>
    <row r="25" spans="2:11" ht="7.5" customHeight="1">
      <c r="B25" s="126"/>
      <c r="C25" s="707"/>
      <c r="D25" s="712"/>
      <c r="E25" s="712"/>
      <c r="F25" s="712"/>
      <c r="G25" s="712"/>
      <c r="H25" s="712"/>
      <c r="I25" s="712"/>
      <c r="J25" s="712"/>
      <c r="K25" s="713"/>
    </row>
    <row r="26" spans="2:12" ht="15.75" customHeight="1">
      <c r="B26" s="126" t="s">
        <v>175</v>
      </c>
      <c r="C26" s="707" t="s">
        <v>232</v>
      </c>
      <c r="D26" s="708"/>
      <c r="E26" s="708"/>
      <c r="F26" s="708"/>
      <c r="G26" s="708"/>
      <c r="H26" s="708"/>
      <c r="I26" s="708"/>
      <c r="J26" s="708"/>
      <c r="K26" s="708"/>
      <c r="L26" s="92" t="s">
        <v>446</v>
      </c>
    </row>
    <row r="27" spans="2:11" ht="7.5" customHeight="1">
      <c r="B27" s="126"/>
      <c r="C27" s="707"/>
      <c r="D27" s="712"/>
      <c r="E27" s="712"/>
      <c r="F27" s="712"/>
      <c r="G27" s="712"/>
      <c r="H27" s="712"/>
      <c r="I27" s="712"/>
      <c r="J27" s="712"/>
      <c r="K27" s="713"/>
    </row>
    <row r="28" spans="2:11" ht="15.75" customHeight="1">
      <c r="B28" s="126" t="s">
        <v>176</v>
      </c>
      <c r="C28" s="707" t="s">
        <v>233</v>
      </c>
      <c r="D28" s="712"/>
      <c r="E28" s="712"/>
      <c r="F28" s="712"/>
      <c r="G28" s="712"/>
      <c r="H28" s="712"/>
      <c r="I28" s="712"/>
      <c r="J28" s="712"/>
      <c r="K28" s="713"/>
    </row>
    <row r="29" spans="2:11" ht="9.75" customHeight="1">
      <c r="B29" s="13"/>
      <c r="C29" s="718"/>
      <c r="D29" s="718"/>
      <c r="E29" s="718"/>
      <c r="F29" s="718"/>
      <c r="G29" s="718"/>
      <c r="H29" s="718"/>
      <c r="I29" s="718"/>
      <c r="J29" s="718"/>
      <c r="K29" s="718"/>
    </row>
    <row r="30" spans="2:13" s="7" customFormat="1" ht="15">
      <c r="B30" s="12"/>
      <c r="C30" s="717"/>
      <c r="D30" s="717"/>
      <c r="E30" s="717"/>
      <c r="F30" s="717"/>
      <c r="G30" s="717"/>
      <c r="H30" s="717"/>
      <c r="I30" s="717"/>
      <c r="J30" s="717"/>
      <c r="K30" s="717"/>
      <c r="L30" s="652"/>
      <c r="M30" s="653"/>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sheet="1"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workbookViewId="0" topLeftCell="B1">
      <selection activeCell="B4" sqref="B4"/>
    </sheetView>
  </sheetViews>
  <sheetFormatPr defaultColWidth="12" defaultRowHeight="12.75"/>
  <cols>
    <col min="1" max="1" width="6.66015625" style="0" hidden="1" customWidth="1"/>
    <col min="2" max="2" width="8.5" style="34"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75">
      <c r="B1" s="37"/>
      <c r="C1" s="38" t="s">
        <v>165</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2:18" s="35" customFormat="1" ht="15">
      <c r="B3" s="35">
        <v>180</v>
      </c>
      <c r="C3" s="30" t="s">
        <v>324</v>
      </c>
      <c r="D3" s="703" t="s">
        <v>144</v>
      </c>
      <c r="E3" s="31"/>
      <c r="F3" s="30"/>
      <c r="G3" s="30"/>
      <c r="H3" s="33"/>
      <c r="K3" s="32" t="s">
        <v>329</v>
      </c>
      <c r="L3" s="33"/>
      <c r="M3" s="33"/>
      <c r="N3" s="33"/>
      <c r="O3" s="30"/>
      <c r="P3" s="36"/>
      <c r="Q3" s="36"/>
      <c r="R3" s="36"/>
    </row>
    <row r="4" spans="3:16" ht="7.5" customHeight="1">
      <c r="C4" s="46"/>
      <c r="D4" s="8"/>
      <c r="E4" s="8"/>
      <c r="F4" s="8"/>
      <c r="G4" s="5"/>
      <c r="H4" s="5"/>
      <c r="I4" s="5"/>
      <c r="J4" s="6"/>
      <c r="K4" s="6"/>
      <c r="L4" s="6"/>
      <c r="M4" s="5"/>
      <c r="N4" s="5"/>
      <c r="O4" s="5"/>
      <c r="P4" s="5"/>
    </row>
    <row r="5" spans="2:16" s="18" customFormat="1" ht="17.25" customHeight="1">
      <c r="B5" s="37"/>
      <c r="C5" s="879" t="s">
        <v>508</v>
      </c>
      <c r="D5" s="880"/>
      <c r="E5" s="880"/>
      <c r="F5" s="880"/>
      <c r="G5" s="880"/>
      <c r="H5" s="880"/>
      <c r="I5" s="880"/>
      <c r="J5" s="880"/>
      <c r="K5" s="880"/>
      <c r="L5" s="880"/>
      <c r="M5" s="880"/>
      <c r="N5" s="28"/>
      <c r="O5" s="28"/>
      <c r="P5" s="28"/>
    </row>
    <row r="6" ht="9.75" customHeight="1"/>
    <row r="7" spans="3:16" ht="17.25" customHeight="1">
      <c r="C7" s="881" t="s">
        <v>507</v>
      </c>
      <c r="D7" s="882"/>
      <c r="E7" s="882"/>
      <c r="F7" s="882"/>
      <c r="G7" s="882"/>
      <c r="H7" s="882"/>
      <c r="I7" s="882"/>
      <c r="J7" s="882"/>
      <c r="K7" s="882"/>
      <c r="L7" s="882"/>
      <c r="M7" s="882"/>
      <c r="N7" s="882"/>
      <c r="O7" s="882"/>
      <c r="P7" s="883"/>
    </row>
    <row r="8" spans="3:16" ht="25.5" customHeight="1">
      <c r="C8" s="887"/>
      <c r="D8" s="888"/>
      <c r="E8" s="888"/>
      <c r="F8" s="888"/>
      <c r="G8" s="888"/>
      <c r="H8" s="888"/>
      <c r="I8" s="888"/>
      <c r="J8" s="888"/>
      <c r="K8" s="888"/>
      <c r="L8" s="888"/>
      <c r="M8" s="888"/>
      <c r="N8" s="888"/>
      <c r="O8" s="888"/>
      <c r="P8" s="889"/>
    </row>
    <row r="9" spans="3:16" ht="39" customHeight="1">
      <c r="C9" s="884" t="s">
        <v>506</v>
      </c>
      <c r="D9" s="885"/>
      <c r="E9" s="885"/>
      <c r="F9" s="885"/>
      <c r="G9" s="885"/>
      <c r="H9" s="885"/>
      <c r="I9" s="885"/>
      <c r="J9" s="885"/>
      <c r="K9" s="885"/>
      <c r="L9" s="885"/>
      <c r="M9" s="885"/>
      <c r="N9" s="885"/>
      <c r="O9" s="885"/>
      <c r="P9" s="886"/>
    </row>
    <row r="10" spans="3:16" ht="15" customHeight="1">
      <c r="C10" s="890"/>
      <c r="D10" s="891"/>
      <c r="E10" s="891"/>
      <c r="F10" s="891"/>
      <c r="G10" s="891"/>
      <c r="H10" s="891"/>
      <c r="I10" s="891"/>
      <c r="J10" s="891"/>
      <c r="K10" s="891"/>
      <c r="L10" s="891"/>
      <c r="M10" s="891"/>
      <c r="N10" s="891"/>
      <c r="O10" s="891"/>
      <c r="P10" s="892"/>
    </row>
    <row r="11" spans="3:16" ht="15" customHeight="1">
      <c r="C11" s="890"/>
      <c r="D11" s="891"/>
      <c r="E11" s="891"/>
      <c r="F11" s="891"/>
      <c r="G11" s="891"/>
      <c r="H11" s="891"/>
      <c r="I11" s="891"/>
      <c r="J11" s="891"/>
      <c r="K11" s="891"/>
      <c r="L11" s="891"/>
      <c r="M11" s="891"/>
      <c r="N11" s="891"/>
      <c r="O11" s="891"/>
      <c r="P11" s="892"/>
    </row>
    <row r="12" spans="3:16" ht="15" customHeight="1">
      <c r="C12" s="890"/>
      <c r="D12" s="891"/>
      <c r="E12" s="891"/>
      <c r="F12" s="891"/>
      <c r="G12" s="891"/>
      <c r="H12" s="891"/>
      <c r="I12" s="891"/>
      <c r="J12" s="891"/>
      <c r="K12" s="891"/>
      <c r="L12" s="891"/>
      <c r="M12" s="891"/>
      <c r="N12" s="891"/>
      <c r="O12" s="891"/>
      <c r="P12" s="892"/>
    </row>
    <row r="13" spans="3:16" ht="15" customHeight="1">
      <c r="C13" s="890"/>
      <c r="D13" s="893"/>
      <c r="E13" s="893"/>
      <c r="F13" s="893"/>
      <c r="G13" s="893"/>
      <c r="H13" s="893"/>
      <c r="I13" s="893"/>
      <c r="J13" s="893"/>
      <c r="K13" s="893"/>
      <c r="L13" s="893"/>
      <c r="M13" s="893"/>
      <c r="N13" s="893"/>
      <c r="O13" s="893"/>
      <c r="P13" s="894"/>
    </row>
    <row r="14" spans="3:16" ht="15" customHeight="1">
      <c r="C14" s="890"/>
      <c r="D14" s="891"/>
      <c r="E14" s="891"/>
      <c r="F14" s="891"/>
      <c r="G14" s="891"/>
      <c r="H14" s="891"/>
      <c r="I14" s="891"/>
      <c r="J14" s="891"/>
      <c r="K14" s="891"/>
      <c r="L14" s="891"/>
      <c r="M14" s="891"/>
      <c r="N14" s="891"/>
      <c r="O14" s="891"/>
      <c r="P14" s="892"/>
    </row>
    <row r="15" spans="3:16" ht="15" customHeight="1">
      <c r="C15" s="890"/>
      <c r="D15" s="891"/>
      <c r="E15" s="891"/>
      <c r="F15" s="891"/>
      <c r="G15" s="891"/>
      <c r="H15" s="891"/>
      <c r="I15" s="891"/>
      <c r="J15" s="891"/>
      <c r="K15" s="891"/>
      <c r="L15" s="891"/>
      <c r="M15" s="891"/>
      <c r="N15" s="891"/>
      <c r="O15" s="891"/>
      <c r="P15" s="892"/>
    </row>
    <row r="16" spans="3:16" ht="15" customHeight="1">
      <c r="C16" s="890"/>
      <c r="D16" s="891"/>
      <c r="E16" s="891"/>
      <c r="F16" s="891"/>
      <c r="G16" s="891"/>
      <c r="H16" s="891"/>
      <c r="I16" s="891"/>
      <c r="J16" s="891"/>
      <c r="K16" s="891"/>
      <c r="L16" s="891"/>
      <c r="M16" s="891"/>
      <c r="N16" s="891"/>
      <c r="O16" s="891"/>
      <c r="P16" s="892"/>
    </row>
    <row r="17" spans="3:16" ht="15" customHeight="1">
      <c r="C17" s="890"/>
      <c r="D17" s="893"/>
      <c r="E17" s="893"/>
      <c r="F17" s="893"/>
      <c r="G17" s="893"/>
      <c r="H17" s="893"/>
      <c r="I17" s="893"/>
      <c r="J17" s="893"/>
      <c r="K17" s="893"/>
      <c r="L17" s="893"/>
      <c r="M17" s="893"/>
      <c r="N17" s="893"/>
      <c r="O17" s="893"/>
      <c r="P17" s="894"/>
    </row>
    <row r="18" spans="3:16" ht="15" customHeight="1">
      <c r="C18" s="890"/>
      <c r="D18" s="893"/>
      <c r="E18" s="893"/>
      <c r="F18" s="893"/>
      <c r="G18" s="893"/>
      <c r="H18" s="893"/>
      <c r="I18" s="893"/>
      <c r="J18" s="893"/>
      <c r="K18" s="893"/>
      <c r="L18" s="893"/>
      <c r="M18" s="893"/>
      <c r="N18" s="893"/>
      <c r="O18" s="893"/>
      <c r="P18" s="894"/>
    </row>
    <row r="19" spans="3:16" ht="15" customHeight="1">
      <c r="C19" s="881" t="s">
        <v>330</v>
      </c>
      <c r="D19" s="882"/>
      <c r="E19" s="882"/>
      <c r="F19" s="882"/>
      <c r="G19" s="882"/>
      <c r="H19" s="882"/>
      <c r="I19" s="882"/>
      <c r="J19" s="882"/>
      <c r="K19" s="882"/>
      <c r="L19" s="882"/>
      <c r="M19" s="882"/>
      <c r="N19" s="882"/>
      <c r="O19" s="882"/>
      <c r="P19" s="883"/>
    </row>
    <row r="20" spans="3:16" ht="15" customHeight="1">
      <c r="C20" s="890"/>
      <c r="D20" s="898"/>
      <c r="E20" s="898"/>
      <c r="F20" s="898"/>
      <c r="G20" s="898"/>
      <c r="H20" s="898"/>
      <c r="I20" s="898"/>
      <c r="J20" s="898"/>
      <c r="K20" s="898"/>
      <c r="L20" s="898"/>
      <c r="M20" s="898"/>
      <c r="N20" s="898"/>
      <c r="O20" s="898"/>
      <c r="P20" s="899"/>
    </row>
    <row r="21" spans="3:16" ht="15" customHeight="1">
      <c r="C21" s="890"/>
      <c r="D21" s="898"/>
      <c r="E21" s="898"/>
      <c r="F21" s="898"/>
      <c r="G21" s="898"/>
      <c r="H21" s="898"/>
      <c r="I21" s="898"/>
      <c r="J21" s="898"/>
      <c r="K21" s="898"/>
      <c r="L21" s="898"/>
      <c r="M21" s="898"/>
      <c r="N21" s="898"/>
      <c r="O21" s="898"/>
      <c r="P21" s="899"/>
    </row>
    <row r="22" spans="3:16" ht="15" customHeight="1">
      <c r="C22" s="890"/>
      <c r="D22" s="898"/>
      <c r="E22" s="898"/>
      <c r="F22" s="898"/>
      <c r="G22" s="898"/>
      <c r="H22" s="898"/>
      <c r="I22" s="898"/>
      <c r="J22" s="898"/>
      <c r="K22" s="898"/>
      <c r="L22" s="898"/>
      <c r="M22" s="898"/>
      <c r="N22" s="898"/>
      <c r="O22" s="898"/>
      <c r="P22" s="899"/>
    </row>
    <row r="23" spans="3:16" ht="15" customHeight="1">
      <c r="C23" s="890"/>
      <c r="D23" s="898"/>
      <c r="E23" s="898"/>
      <c r="F23" s="898"/>
      <c r="G23" s="898"/>
      <c r="H23" s="898"/>
      <c r="I23" s="898"/>
      <c r="J23" s="898"/>
      <c r="K23" s="898"/>
      <c r="L23" s="898"/>
      <c r="M23" s="898"/>
      <c r="N23" s="898"/>
      <c r="O23" s="898"/>
      <c r="P23" s="899"/>
    </row>
    <row r="24" spans="3:16" ht="15" customHeight="1">
      <c r="C24" s="895"/>
      <c r="D24" s="896"/>
      <c r="E24" s="896"/>
      <c r="F24" s="896"/>
      <c r="G24" s="896"/>
      <c r="H24" s="896"/>
      <c r="I24" s="896"/>
      <c r="J24" s="896"/>
      <c r="K24" s="896"/>
      <c r="L24" s="896"/>
      <c r="M24" s="896"/>
      <c r="N24" s="896"/>
      <c r="O24" s="896"/>
      <c r="P24" s="897"/>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workbookViewId="0" topLeftCell="A1">
      <selection activeCell="A1" sqref="A1"/>
    </sheetView>
  </sheetViews>
  <sheetFormatPr defaultColWidth="12"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4"/>
      <c r="B1" s="29" t="s">
        <v>235</v>
      </c>
    </row>
    <row r="2" ht="9.75" customHeight="1"/>
    <row r="3" spans="2:11" s="18" customFormat="1" ht="16.5" customHeight="1">
      <c r="B3" s="719" t="s">
        <v>180</v>
      </c>
      <c r="C3" s="719"/>
      <c r="D3" s="719"/>
      <c r="E3" s="719"/>
      <c r="F3" s="719"/>
      <c r="G3" s="719"/>
      <c r="H3" s="719"/>
      <c r="I3" s="719"/>
      <c r="J3" s="719"/>
      <c r="K3" s="719"/>
    </row>
    <row r="4" ht="9.75" customHeight="1">
      <c r="C4" s="14"/>
    </row>
    <row r="5" spans="2:11" s="18" customFormat="1" ht="15.75">
      <c r="B5" s="721" t="s">
        <v>1</v>
      </c>
      <c r="C5" s="721"/>
      <c r="D5" s="721"/>
      <c r="E5" s="721"/>
      <c r="F5" s="721"/>
      <c r="G5" s="721"/>
      <c r="H5" s="721"/>
      <c r="I5" s="721"/>
      <c r="J5" s="721"/>
      <c r="K5" s="721"/>
    </row>
    <row r="6" spans="2:10" ht="11.25" customHeight="1">
      <c r="B6" s="15"/>
      <c r="C6" s="16"/>
      <c r="D6" s="9"/>
      <c r="F6" s="9"/>
      <c r="G6" s="6"/>
      <c r="H6" s="6"/>
      <c r="I6" s="6"/>
      <c r="J6" s="6"/>
    </row>
    <row r="7" spans="2:11" s="10" customFormat="1" ht="53.25" customHeight="1">
      <c r="B7" s="720" t="s">
        <v>637</v>
      </c>
      <c r="C7" s="720"/>
      <c r="D7" s="720"/>
      <c r="E7" s="720"/>
      <c r="F7" s="720"/>
      <c r="G7" s="720"/>
      <c r="H7" s="720"/>
      <c r="I7" s="720"/>
      <c r="J7" s="720"/>
      <c r="K7" s="720"/>
    </row>
    <row r="8" spans="2:11" s="10" customFormat="1" ht="30" customHeight="1">
      <c r="B8" s="720" t="s">
        <v>236</v>
      </c>
      <c r="C8" s="723"/>
      <c r="D8" s="723"/>
      <c r="E8" s="723"/>
      <c r="F8" s="723"/>
      <c r="G8" s="723"/>
      <c r="H8" s="723"/>
      <c r="I8" s="723"/>
      <c r="J8" s="723"/>
      <c r="K8" s="723"/>
    </row>
    <row r="9" spans="2:11" s="2" customFormat="1" ht="45.75" customHeight="1">
      <c r="B9" s="724" t="s">
        <v>638</v>
      </c>
      <c r="C9" s="724"/>
      <c r="D9" s="724"/>
      <c r="E9" s="724"/>
      <c r="F9" s="724"/>
      <c r="G9" s="724"/>
      <c r="H9" s="724"/>
      <c r="I9" s="724"/>
      <c r="J9" s="724"/>
      <c r="K9" s="724"/>
    </row>
    <row r="10" spans="2:11" s="10" customFormat="1" ht="31.5" customHeight="1">
      <c r="B10" s="725" t="s">
        <v>181</v>
      </c>
      <c r="C10" s="725"/>
      <c r="D10" s="725"/>
      <c r="E10" s="725"/>
      <c r="F10" s="725"/>
      <c r="G10" s="725"/>
      <c r="H10" s="725"/>
      <c r="I10" s="725"/>
      <c r="J10" s="725"/>
      <c r="K10" s="725"/>
    </row>
    <row r="11" spans="2:11" s="53" customFormat="1" ht="30" customHeight="1">
      <c r="B11" s="726" t="s">
        <v>635</v>
      </c>
      <c r="C11" s="726"/>
      <c r="D11" s="726"/>
      <c r="E11" s="726"/>
      <c r="F11" s="726"/>
      <c r="G11" s="726"/>
      <c r="H11" s="726"/>
      <c r="I11" s="726"/>
      <c r="J11" s="726"/>
      <c r="K11" s="726"/>
    </row>
    <row r="12" spans="2:11" s="10" customFormat="1" ht="42.75" customHeight="1">
      <c r="B12" s="720" t="s">
        <v>490</v>
      </c>
      <c r="C12" s="720"/>
      <c r="D12" s="720"/>
      <c r="E12" s="720"/>
      <c r="F12" s="720"/>
      <c r="G12" s="720"/>
      <c r="H12" s="720"/>
      <c r="I12" s="720"/>
      <c r="J12" s="720"/>
      <c r="K12" s="720"/>
    </row>
    <row r="13" spans="2:11" s="10" customFormat="1" ht="30" customHeight="1">
      <c r="B13" s="720" t="s">
        <v>491</v>
      </c>
      <c r="C13" s="720"/>
      <c r="D13" s="720"/>
      <c r="E13" s="720"/>
      <c r="F13" s="720"/>
      <c r="G13" s="720"/>
      <c r="H13" s="720"/>
      <c r="I13" s="720"/>
      <c r="J13" s="720"/>
      <c r="K13" s="720"/>
    </row>
    <row r="14" spans="2:11" s="10" customFormat="1" ht="29.25" customHeight="1">
      <c r="B14" s="720" t="s">
        <v>639</v>
      </c>
      <c r="C14" s="720"/>
      <c r="D14" s="720"/>
      <c r="E14" s="720"/>
      <c r="F14" s="720"/>
      <c r="G14" s="720"/>
      <c r="H14" s="720"/>
      <c r="I14" s="720"/>
      <c r="J14" s="720"/>
      <c r="K14" s="720"/>
    </row>
    <row r="15" spans="2:11" s="10" customFormat="1" ht="23.25" customHeight="1">
      <c r="B15" s="722" t="s">
        <v>492</v>
      </c>
      <c r="C15" s="722"/>
      <c r="D15" s="722"/>
      <c r="E15" s="722"/>
      <c r="F15" s="722"/>
      <c r="G15" s="722"/>
      <c r="H15" s="722"/>
      <c r="I15" s="722"/>
      <c r="J15" s="722"/>
      <c r="K15" s="722"/>
    </row>
    <row r="16" spans="2:11" s="10" customFormat="1" ht="38.25" customHeight="1">
      <c r="B16" s="720" t="s">
        <v>633</v>
      </c>
      <c r="C16" s="720"/>
      <c r="D16" s="720"/>
      <c r="E16" s="739"/>
      <c r="F16" s="739"/>
      <c r="G16" s="739"/>
      <c r="H16" s="739"/>
      <c r="I16" s="739"/>
      <c r="J16" s="739"/>
      <c r="K16" s="739"/>
    </row>
    <row r="17" spans="2:11" s="10" customFormat="1" ht="16.5" customHeight="1">
      <c r="B17" s="735" t="s">
        <v>577</v>
      </c>
      <c r="C17" s="735"/>
      <c r="D17" s="735"/>
      <c r="E17" s="735"/>
      <c r="F17" s="735"/>
      <c r="G17" s="735"/>
      <c r="H17" s="735"/>
      <c r="I17" s="735"/>
      <c r="J17" s="735"/>
      <c r="K17" s="735"/>
    </row>
    <row r="18" spans="2:11" s="10" customFormat="1" ht="51.75" customHeight="1">
      <c r="B18" s="725" t="s">
        <v>632</v>
      </c>
      <c r="C18" s="725"/>
      <c r="D18" s="725"/>
      <c r="E18" s="725"/>
      <c r="F18" s="725"/>
      <c r="G18" s="725"/>
      <c r="H18" s="725"/>
      <c r="I18" s="725"/>
      <c r="J18" s="725"/>
      <c r="K18" s="725"/>
    </row>
    <row r="19" spans="2:11" ht="10.5" customHeight="1">
      <c r="B19" s="128"/>
      <c r="C19" s="128"/>
      <c r="D19" s="128"/>
      <c r="E19" s="128"/>
      <c r="F19" s="128"/>
      <c r="G19" s="128"/>
      <c r="H19" s="128"/>
      <c r="I19" s="128"/>
      <c r="J19" s="128"/>
      <c r="K19" s="128"/>
    </row>
    <row r="20" spans="2:11" s="18" customFormat="1" ht="15.75">
      <c r="B20" s="721" t="s">
        <v>182</v>
      </c>
      <c r="C20" s="738"/>
      <c r="D20" s="738"/>
      <c r="E20" s="738"/>
      <c r="F20" s="738"/>
      <c r="G20" s="738"/>
      <c r="H20" s="738"/>
      <c r="I20" s="738"/>
      <c r="J20" s="738"/>
      <c r="K20" s="738"/>
    </row>
    <row r="21" spans="2:11" ht="7.5" customHeight="1">
      <c r="B21" s="93"/>
      <c r="C21" s="40"/>
      <c r="D21" s="93"/>
      <c r="E21" s="40"/>
      <c r="F21" s="93"/>
      <c r="G21" s="40"/>
      <c r="H21" s="93"/>
      <c r="I21" s="40"/>
      <c r="J21" s="93"/>
      <c r="K21" s="40"/>
    </row>
    <row r="22" spans="2:11" ht="7.5" customHeight="1">
      <c r="B22" s="736"/>
      <c r="C22" s="736"/>
      <c r="D22" s="736"/>
      <c r="E22" s="736"/>
      <c r="F22" s="736"/>
      <c r="G22" s="736"/>
      <c r="H22" s="736"/>
      <c r="I22" s="736"/>
      <c r="J22" s="736"/>
      <c r="K22" s="736"/>
    </row>
    <row r="23" spans="2:11" s="53" customFormat="1" ht="15.75" customHeight="1">
      <c r="B23" s="130" t="s">
        <v>2</v>
      </c>
      <c r="C23" s="724" t="s">
        <v>183</v>
      </c>
      <c r="D23" s="724"/>
      <c r="E23" s="724"/>
      <c r="F23" s="724"/>
      <c r="G23" s="724"/>
      <c r="H23" s="724"/>
      <c r="I23" s="724"/>
      <c r="J23" s="724"/>
      <c r="K23" s="724"/>
    </row>
    <row r="24" spans="2:11" s="53" customFormat="1" ht="38.25" customHeight="1">
      <c r="B24" s="130" t="s">
        <v>2</v>
      </c>
      <c r="C24" s="740" t="s">
        <v>640</v>
      </c>
      <c r="D24" s="740"/>
      <c r="E24" s="740"/>
      <c r="F24" s="740"/>
      <c r="G24" s="740"/>
      <c r="H24" s="740"/>
      <c r="I24" s="740"/>
      <c r="J24" s="740"/>
      <c r="K24" s="740"/>
    </row>
    <row r="25" spans="2:11" s="43" customFormat="1" ht="63" customHeight="1">
      <c r="B25" s="130" t="s">
        <v>2</v>
      </c>
      <c r="C25" s="740" t="s">
        <v>511</v>
      </c>
      <c r="D25" s="740"/>
      <c r="E25" s="740"/>
      <c r="F25" s="740"/>
      <c r="G25" s="740"/>
      <c r="H25" s="740"/>
      <c r="I25" s="740"/>
      <c r="J25" s="740"/>
      <c r="K25" s="740"/>
    </row>
    <row r="26" spans="2:11" s="53" customFormat="1" ht="42.75" customHeight="1">
      <c r="B26" s="131" t="s">
        <v>2</v>
      </c>
      <c r="C26" s="733" t="s">
        <v>184</v>
      </c>
      <c r="D26" s="733"/>
      <c r="E26" s="733"/>
      <c r="F26" s="733"/>
      <c r="G26" s="733"/>
      <c r="H26" s="733"/>
      <c r="I26" s="733"/>
      <c r="J26" s="733"/>
      <c r="K26" s="733"/>
    </row>
    <row r="27" spans="2:11" s="53" customFormat="1" ht="40.5" customHeight="1">
      <c r="B27" s="131" t="s">
        <v>2</v>
      </c>
      <c r="C27" s="742" t="s">
        <v>185</v>
      </c>
      <c r="D27" s="742"/>
      <c r="E27" s="742"/>
      <c r="F27" s="742"/>
      <c r="G27" s="742"/>
      <c r="H27" s="742"/>
      <c r="I27" s="742"/>
      <c r="J27" s="742"/>
      <c r="K27" s="742"/>
    </row>
    <row r="28" spans="2:11" s="10" customFormat="1" ht="15.75" customHeight="1">
      <c r="B28" s="131" t="s">
        <v>2</v>
      </c>
      <c r="C28" s="725" t="s">
        <v>186</v>
      </c>
      <c r="D28" s="725"/>
      <c r="E28" s="725"/>
      <c r="F28" s="725"/>
      <c r="G28" s="725"/>
      <c r="H28" s="725"/>
      <c r="I28" s="725"/>
      <c r="J28" s="725"/>
      <c r="K28" s="725"/>
    </row>
    <row r="29" spans="2:11" s="53" customFormat="1" ht="15.75" customHeight="1">
      <c r="B29" s="131" t="s">
        <v>2</v>
      </c>
      <c r="C29" s="734" t="s">
        <v>187</v>
      </c>
      <c r="D29" s="734"/>
      <c r="E29" s="734"/>
      <c r="F29" s="734"/>
      <c r="G29" s="734"/>
      <c r="H29" s="734"/>
      <c r="I29" s="734"/>
      <c r="J29" s="734"/>
      <c r="K29" s="734"/>
    </row>
    <row r="30" spans="2:11" s="53" customFormat="1" ht="27.75" customHeight="1">
      <c r="B30" s="131" t="s">
        <v>2</v>
      </c>
      <c r="C30" s="734" t="s">
        <v>188</v>
      </c>
      <c r="D30" s="734"/>
      <c r="E30" s="734"/>
      <c r="F30" s="734"/>
      <c r="G30" s="734"/>
      <c r="H30" s="734"/>
      <c r="I30" s="734"/>
      <c r="J30" s="734"/>
      <c r="K30" s="734"/>
    </row>
    <row r="31" spans="2:11" s="10" customFormat="1" ht="10.5" customHeight="1">
      <c r="B31" s="131"/>
      <c r="C31" s="725"/>
      <c r="D31" s="725"/>
      <c r="E31" s="725"/>
      <c r="F31" s="725"/>
      <c r="G31" s="725"/>
      <c r="H31" s="725"/>
      <c r="I31" s="725"/>
      <c r="J31" s="725"/>
      <c r="K31" s="725"/>
    </row>
    <row r="32" spans="2:11" s="58" customFormat="1" ht="15.75" customHeight="1">
      <c r="B32" s="132" t="s">
        <v>510</v>
      </c>
      <c r="C32" s="132"/>
      <c r="D32" s="132"/>
      <c r="E32" s="133"/>
      <c r="F32" s="133"/>
      <c r="G32" s="134"/>
      <c r="H32" s="134"/>
      <c r="I32" s="134"/>
      <c r="J32" s="134"/>
      <c r="K32" s="134"/>
    </row>
    <row r="33" spans="2:11" s="44" customFormat="1" ht="2.25" customHeight="1">
      <c r="B33" s="127"/>
      <c r="C33" s="120"/>
      <c r="D33" s="120"/>
      <c r="E33" s="120"/>
      <c r="F33" s="120"/>
      <c r="G33" s="120"/>
      <c r="H33" s="120"/>
      <c r="I33" s="120"/>
      <c r="J33" s="120"/>
      <c r="K33" s="120"/>
    </row>
    <row r="34" spans="2:11" s="44" customFormat="1" ht="13.5" customHeight="1">
      <c r="B34" s="135" t="s">
        <v>392</v>
      </c>
      <c r="C34" s="136" t="s">
        <v>493</v>
      </c>
      <c r="D34" s="137"/>
      <c r="E34" s="137"/>
      <c r="F34" s="137"/>
      <c r="G34" s="137"/>
      <c r="H34" s="137"/>
      <c r="I34" s="137"/>
      <c r="J34" s="137"/>
      <c r="K34" s="137"/>
    </row>
    <row r="35" spans="2:11" s="44" customFormat="1" ht="15" customHeight="1">
      <c r="B35" s="135" t="s">
        <v>392</v>
      </c>
      <c r="C35" s="136" t="s">
        <v>189</v>
      </c>
      <c r="D35" s="136"/>
      <c r="E35" s="136"/>
      <c r="F35" s="136"/>
      <c r="G35" s="136"/>
      <c r="H35" s="136"/>
      <c r="I35" s="136"/>
      <c r="J35" s="136"/>
      <c r="K35" s="136"/>
    </row>
    <row r="36" spans="2:11" s="44" customFormat="1" ht="14.25" customHeight="1">
      <c r="B36" s="135" t="s">
        <v>392</v>
      </c>
      <c r="C36" s="136" t="s">
        <v>190</v>
      </c>
      <c r="D36" s="120"/>
      <c r="E36" s="120"/>
      <c r="F36" s="120"/>
      <c r="G36" s="120"/>
      <c r="H36" s="120"/>
      <c r="I36" s="120"/>
      <c r="J36" s="120"/>
      <c r="K36" s="120"/>
    </row>
    <row r="37" spans="2:11" s="44" customFormat="1" ht="30" customHeight="1">
      <c r="B37" s="135" t="s">
        <v>392</v>
      </c>
      <c r="C37" s="737" t="s">
        <v>558</v>
      </c>
      <c r="D37" s="737"/>
      <c r="E37" s="737"/>
      <c r="F37" s="737"/>
      <c r="G37" s="737"/>
      <c r="H37" s="737"/>
      <c r="I37" s="737"/>
      <c r="J37" s="737"/>
      <c r="K37" s="737"/>
    </row>
    <row r="38" spans="2:11" s="40" customFormat="1" ht="9.75" customHeight="1">
      <c r="B38" s="138"/>
      <c r="C38" s="139"/>
      <c r="D38" s="140"/>
      <c r="E38" s="140"/>
      <c r="F38" s="140"/>
      <c r="G38" s="140"/>
      <c r="H38" s="140"/>
      <c r="I38" s="140"/>
      <c r="J38" s="140"/>
      <c r="K38" s="140"/>
    </row>
    <row r="39" spans="2:11" s="18" customFormat="1" ht="15.75" customHeight="1">
      <c r="B39" s="743" t="s">
        <v>191</v>
      </c>
      <c r="C39" s="744"/>
      <c r="D39" s="744"/>
      <c r="E39" s="744"/>
      <c r="F39" s="744"/>
      <c r="G39" s="744"/>
      <c r="H39" s="744"/>
      <c r="I39" s="744"/>
      <c r="J39" s="744"/>
      <c r="K39" s="744"/>
    </row>
    <row r="40" spans="2:11" ht="7.5" customHeight="1">
      <c r="B40" s="11"/>
      <c r="C40" s="11"/>
      <c r="D40" s="141"/>
      <c r="E40" s="141"/>
      <c r="F40" s="11"/>
      <c r="G40" s="141"/>
      <c r="H40" s="141"/>
      <c r="I40" s="141"/>
      <c r="J40" s="141"/>
      <c r="K40" s="129"/>
    </row>
    <row r="41" spans="2:12" ht="24" customHeight="1">
      <c r="B41" s="730" t="s">
        <v>192</v>
      </c>
      <c r="C41" s="731"/>
      <c r="D41" s="731"/>
      <c r="E41" s="731"/>
      <c r="F41" s="731"/>
      <c r="G41" s="731"/>
      <c r="H41" s="731"/>
      <c r="I41" s="731"/>
      <c r="J41" s="731"/>
      <c r="K41" s="732"/>
      <c r="L41" s="23"/>
    </row>
    <row r="42" spans="2:11" ht="90.75" customHeight="1">
      <c r="B42" s="727" t="s">
        <v>495</v>
      </c>
      <c r="C42" s="728"/>
      <c r="D42" s="728"/>
      <c r="E42" s="728"/>
      <c r="F42" s="728"/>
      <c r="G42" s="728"/>
      <c r="H42" s="728"/>
      <c r="I42" s="728"/>
      <c r="J42" s="728"/>
      <c r="K42" s="729"/>
    </row>
    <row r="43" spans="2:11" ht="24" customHeight="1">
      <c r="B43" s="730" t="s">
        <v>193</v>
      </c>
      <c r="C43" s="731"/>
      <c r="D43" s="731"/>
      <c r="E43" s="731"/>
      <c r="F43" s="731"/>
      <c r="G43" s="731"/>
      <c r="H43" s="731"/>
      <c r="I43" s="731"/>
      <c r="J43" s="731"/>
      <c r="K43" s="732"/>
    </row>
    <row r="44" spans="2:11" ht="101.25" customHeight="1">
      <c r="B44" s="727" t="s">
        <v>496</v>
      </c>
      <c r="C44" s="728"/>
      <c r="D44" s="728"/>
      <c r="E44" s="728"/>
      <c r="F44" s="728"/>
      <c r="G44" s="728"/>
      <c r="H44" s="728"/>
      <c r="I44" s="728"/>
      <c r="J44" s="728"/>
      <c r="K44" s="729"/>
    </row>
    <row r="45" spans="2:11" ht="24" customHeight="1">
      <c r="B45" s="730" t="s">
        <v>237</v>
      </c>
      <c r="C45" s="731"/>
      <c r="D45" s="731"/>
      <c r="E45" s="731"/>
      <c r="F45" s="731"/>
      <c r="G45" s="731"/>
      <c r="H45" s="731"/>
      <c r="I45" s="731"/>
      <c r="J45" s="731"/>
      <c r="K45" s="732"/>
    </row>
    <row r="46" spans="2:11" ht="66" customHeight="1">
      <c r="B46" s="727" t="s">
        <v>494</v>
      </c>
      <c r="C46" s="728"/>
      <c r="D46" s="728"/>
      <c r="E46" s="728"/>
      <c r="F46" s="728"/>
      <c r="G46" s="728"/>
      <c r="H46" s="728"/>
      <c r="I46" s="728"/>
      <c r="J46" s="728"/>
      <c r="K46" s="729"/>
    </row>
    <row r="47" spans="2:11" ht="24" customHeight="1">
      <c r="B47" s="730" t="s">
        <v>194</v>
      </c>
      <c r="C47" s="731"/>
      <c r="D47" s="731"/>
      <c r="E47" s="731"/>
      <c r="F47" s="731"/>
      <c r="G47" s="731"/>
      <c r="H47" s="731"/>
      <c r="I47" s="731"/>
      <c r="J47" s="731"/>
      <c r="K47" s="732"/>
    </row>
    <row r="48" spans="2:11" ht="64.5" customHeight="1">
      <c r="B48" s="727" t="s">
        <v>238</v>
      </c>
      <c r="C48" s="728"/>
      <c r="D48" s="728"/>
      <c r="E48" s="728"/>
      <c r="F48" s="728"/>
      <c r="G48" s="728"/>
      <c r="H48" s="728"/>
      <c r="I48" s="728"/>
      <c r="J48" s="728"/>
      <c r="K48" s="729"/>
    </row>
    <row r="49" spans="2:11" ht="24" customHeight="1">
      <c r="B49" s="730" t="s">
        <v>195</v>
      </c>
      <c r="C49" s="731"/>
      <c r="D49" s="731"/>
      <c r="E49" s="731"/>
      <c r="F49" s="731"/>
      <c r="G49" s="731"/>
      <c r="H49" s="731"/>
      <c r="I49" s="731"/>
      <c r="J49" s="731"/>
      <c r="K49" s="732"/>
    </row>
    <row r="50" spans="2:11" ht="27" customHeight="1">
      <c r="B50" s="727" t="s">
        <v>196</v>
      </c>
      <c r="C50" s="728"/>
      <c r="D50" s="728"/>
      <c r="E50" s="728"/>
      <c r="F50" s="728"/>
      <c r="G50" s="728"/>
      <c r="H50" s="728"/>
      <c r="I50" s="728"/>
      <c r="J50" s="728"/>
      <c r="K50" s="729"/>
    </row>
    <row r="51" spans="2:11" s="18" customFormat="1" ht="24" customHeight="1">
      <c r="B51" s="730" t="s">
        <v>197</v>
      </c>
      <c r="C51" s="731"/>
      <c r="D51" s="731"/>
      <c r="E51" s="731"/>
      <c r="F51" s="731"/>
      <c r="G51" s="731"/>
      <c r="H51" s="731"/>
      <c r="I51" s="731"/>
      <c r="J51" s="731"/>
      <c r="K51" s="732"/>
    </row>
    <row r="52" spans="2:11" ht="67.5" customHeight="1">
      <c r="B52" s="727" t="s">
        <v>239</v>
      </c>
      <c r="C52" s="728"/>
      <c r="D52" s="728"/>
      <c r="E52" s="728"/>
      <c r="F52" s="728"/>
      <c r="G52" s="728"/>
      <c r="H52" s="728"/>
      <c r="I52" s="728"/>
      <c r="J52" s="728"/>
      <c r="K52" s="729"/>
    </row>
    <row r="53" spans="2:11" ht="24" customHeight="1">
      <c r="B53" s="120"/>
      <c r="C53" s="120"/>
      <c r="D53" s="120"/>
      <c r="E53" s="120"/>
      <c r="F53" s="120"/>
      <c r="G53" s="120"/>
      <c r="H53" s="120"/>
      <c r="I53" s="120"/>
      <c r="J53" s="120"/>
      <c r="K53" s="120"/>
    </row>
    <row r="54" spans="2:11" ht="15.75" customHeight="1">
      <c r="B54" s="741" t="s">
        <v>198</v>
      </c>
      <c r="C54" s="741"/>
      <c r="D54" s="741"/>
      <c r="E54" s="741"/>
      <c r="F54" s="741"/>
      <c r="G54" s="741"/>
      <c r="H54" s="741"/>
      <c r="I54" s="741"/>
      <c r="J54" s="741"/>
      <c r="K54" s="741"/>
    </row>
    <row r="55" spans="2:11" ht="16.5" customHeight="1">
      <c r="B55" s="10"/>
      <c r="C55" s="10"/>
      <c r="D55" s="10"/>
      <c r="E55" s="10"/>
      <c r="F55" s="10"/>
      <c r="G55" s="10"/>
      <c r="H55" s="10"/>
      <c r="I55" s="10"/>
      <c r="J55" s="10"/>
      <c r="K55" s="10"/>
    </row>
    <row r="56" spans="2:11" ht="23.25" customHeight="1">
      <c r="B56" s="10"/>
      <c r="C56" s="142" t="s">
        <v>199</v>
      </c>
      <c r="D56" s="142" t="s">
        <v>200</v>
      </c>
      <c r="E56" s="142" t="s">
        <v>201</v>
      </c>
      <c r="F56" s="10"/>
      <c r="G56" s="10"/>
      <c r="H56" s="10"/>
      <c r="I56" s="10"/>
      <c r="J56" s="10"/>
      <c r="K56" s="10"/>
    </row>
    <row r="57" spans="3:5" s="10" customFormat="1" ht="16.5" customHeight="1">
      <c r="C57" s="143" t="s">
        <v>202</v>
      </c>
      <c r="D57" s="143" t="s">
        <v>203</v>
      </c>
      <c r="E57" s="143">
        <v>4.54609</v>
      </c>
    </row>
    <row r="58" spans="2:11" ht="12.75">
      <c r="B58" s="10"/>
      <c r="C58" s="143" t="s">
        <v>204</v>
      </c>
      <c r="D58" s="143" t="s">
        <v>203</v>
      </c>
      <c r="E58" s="143">
        <v>3.785411784</v>
      </c>
      <c r="F58" s="10"/>
      <c r="G58" s="10"/>
      <c r="H58" s="10"/>
      <c r="I58" s="10"/>
      <c r="J58" s="10"/>
      <c r="K58" s="10"/>
    </row>
    <row r="59" spans="2:11" ht="12.75">
      <c r="B59" s="10"/>
      <c r="C59" s="144" t="s">
        <v>205</v>
      </c>
      <c r="D59" s="143" t="s">
        <v>203</v>
      </c>
      <c r="E59" s="143">
        <v>1000</v>
      </c>
      <c r="F59" s="10"/>
      <c r="G59" s="10"/>
      <c r="H59" s="10"/>
      <c r="I59" s="10"/>
      <c r="J59" s="10"/>
      <c r="K59" s="10"/>
    </row>
    <row r="60" spans="2:11" ht="12.75">
      <c r="B60" s="10"/>
      <c r="C60" s="144" t="s">
        <v>203</v>
      </c>
      <c r="D60" s="145" t="s">
        <v>205</v>
      </c>
      <c r="E60" s="143">
        <v>0.001</v>
      </c>
      <c r="F60" s="10"/>
      <c r="G60" s="10"/>
      <c r="H60" s="10"/>
      <c r="I60" s="10"/>
      <c r="J60" s="10"/>
      <c r="K60" s="10"/>
    </row>
    <row r="61" spans="2:11" ht="12.75">
      <c r="B61" s="10"/>
      <c r="C61" s="144" t="s">
        <v>206</v>
      </c>
      <c r="D61" s="143" t="s">
        <v>203</v>
      </c>
      <c r="E61" s="143">
        <v>0.001</v>
      </c>
      <c r="F61" s="10"/>
      <c r="G61" s="10"/>
      <c r="H61" s="10"/>
      <c r="I61" s="10"/>
      <c r="J61" s="10"/>
      <c r="K61" s="10"/>
    </row>
  </sheetData>
  <sheetProtection sheet="1"/>
  <mergeCells count="40">
    <mergeCell ref="C24:K24"/>
    <mergeCell ref="B54:K54"/>
    <mergeCell ref="C27:K27"/>
    <mergeCell ref="B47:K47"/>
    <mergeCell ref="B46:K46"/>
    <mergeCell ref="B39:K39"/>
    <mergeCell ref="B44:K44"/>
    <mergeCell ref="B48:K48"/>
    <mergeCell ref="B51:K51"/>
    <mergeCell ref="C31:K31"/>
    <mergeCell ref="B52:K52"/>
    <mergeCell ref="B42:K42"/>
    <mergeCell ref="C28:K28"/>
    <mergeCell ref="B13:K13"/>
    <mergeCell ref="B20:K20"/>
    <mergeCell ref="C30:K30"/>
    <mergeCell ref="B16:K16"/>
    <mergeCell ref="C23:K23"/>
    <mergeCell ref="C25:K25"/>
    <mergeCell ref="B43:K43"/>
    <mergeCell ref="B50:K50"/>
    <mergeCell ref="B49:K49"/>
    <mergeCell ref="C26:K26"/>
    <mergeCell ref="C29:K29"/>
    <mergeCell ref="B45:K45"/>
    <mergeCell ref="B17:K17"/>
    <mergeCell ref="B18:K18"/>
    <mergeCell ref="B22:K22"/>
    <mergeCell ref="C37:K37"/>
    <mergeCell ref="B41:K41"/>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showGridLines="0" zoomScale="85" zoomScaleNormal="85" zoomScaleSheetLayoutView="55" zoomScalePageLayoutView="85" workbookViewId="0" topLeftCell="A1">
      <selection activeCell="A1" sqref="A1"/>
    </sheetView>
  </sheetViews>
  <sheetFormatPr defaultColWidth="12" defaultRowHeight="12.75"/>
  <cols>
    <col min="1" max="1" width="3.33203125" style="2" customWidth="1"/>
    <col min="2" max="2" width="11.83203125" style="22" customWidth="1"/>
    <col min="3" max="3" width="33.83203125" style="17" customWidth="1"/>
    <col min="4" max="4" width="121" style="17" customWidth="1"/>
    <col min="5" max="5" width="5.5" style="104" customWidth="1"/>
    <col min="6" max="6" width="5.5" style="105" customWidth="1"/>
    <col min="7" max="7" width="12" style="105" customWidth="1"/>
    <col min="8" max="10" width="12" style="2" customWidth="1"/>
    <col min="11" max="11" width="20.5" style="2" customWidth="1"/>
    <col min="12" max="16384" width="12" style="2" customWidth="1"/>
  </cols>
  <sheetData>
    <row r="1" ht="15.75">
      <c r="B1" s="29" t="s">
        <v>165</v>
      </c>
    </row>
    <row r="2" ht="7.5" customHeight="1"/>
    <row r="3" spans="2:4" ht="18">
      <c r="B3" s="745" t="s">
        <v>207</v>
      </c>
      <c r="C3" s="745"/>
      <c r="D3" s="745"/>
    </row>
    <row r="4" spans="2:4" ht="12.75" customHeight="1">
      <c r="B4" s="103"/>
      <c r="C4" s="146"/>
      <c r="D4" s="147"/>
    </row>
    <row r="5" spans="2:4" ht="15.75">
      <c r="B5" s="746" t="s">
        <v>346</v>
      </c>
      <c r="C5" s="746"/>
      <c r="D5" s="746"/>
    </row>
    <row r="6" spans="2:7" s="11" customFormat="1" ht="40.5" customHeight="1" thickBot="1">
      <c r="B6" s="748" t="s">
        <v>578</v>
      </c>
      <c r="C6" s="749"/>
      <c r="D6" s="749"/>
      <c r="E6" s="104"/>
      <c r="F6" s="105"/>
      <c r="G6" s="105"/>
    </row>
    <row r="7" spans="2:4" ht="40.5" customHeight="1">
      <c r="B7" s="148" t="s">
        <v>208</v>
      </c>
      <c r="C7" s="149" t="s">
        <v>553</v>
      </c>
      <c r="D7" s="150" t="s">
        <v>209</v>
      </c>
    </row>
    <row r="8" spans="2:7" s="11" customFormat="1" ht="40.5" customHeight="1">
      <c r="B8" s="152" t="s">
        <v>389</v>
      </c>
      <c r="C8" s="159" t="s">
        <v>210</v>
      </c>
      <c r="D8" s="171" t="s">
        <v>591</v>
      </c>
      <c r="E8" s="106"/>
      <c r="F8" s="105"/>
      <c r="G8" s="105"/>
    </row>
    <row r="9" spans="2:7" s="11" customFormat="1" ht="117" customHeight="1">
      <c r="B9" s="152" t="s">
        <v>464</v>
      </c>
      <c r="C9" s="159" t="s">
        <v>211</v>
      </c>
      <c r="D9" s="171" t="s">
        <v>592</v>
      </c>
      <c r="E9" s="106"/>
      <c r="F9" s="105"/>
      <c r="G9" s="105"/>
    </row>
    <row r="10" spans="2:7" s="11" customFormat="1" ht="67.5" customHeight="1">
      <c r="B10" s="170" t="s">
        <v>441</v>
      </c>
      <c r="C10" s="172" t="s">
        <v>268</v>
      </c>
      <c r="D10" s="176" t="s">
        <v>335</v>
      </c>
      <c r="E10" s="106"/>
      <c r="F10" s="105"/>
      <c r="G10" s="105"/>
    </row>
    <row r="11" spans="2:7" s="11" customFormat="1" ht="38.25">
      <c r="B11" s="661" t="s">
        <v>579</v>
      </c>
      <c r="C11" s="662" t="s">
        <v>580</v>
      </c>
      <c r="D11" s="176" t="s">
        <v>581</v>
      </c>
      <c r="E11" s="106"/>
      <c r="F11" s="105"/>
      <c r="G11" s="105"/>
    </row>
    <row r="12" spans="2:7" s="11" customFormat="1" ht="66.75" customHeight="1">
      <c r="B12" s="152" t="s">
        <v>388</v>
      </c>
      <c r="C12" s="159" t="s">
        <v>269</v>
      </c>
      <c r="D12" s="163" t="s">
        <v>333</v>
      </c>
      <c r="E12" s="106"/>
      <c r="F12" s="105"/>
      <c r="G12" s="105"/>
    </row>
    <row r="13" spans="2:7" s="11" customFormat="1" ht="63.75">
      <c r="B13" s="157" t="s">
        <v>582</v>
      </c>
      <c r="C13" s="167" t="s">
        <v>585</v>
      </c>
      <c r="D13" s="663" t="s">
        <v>588</v>
      </c>
      <c r="E13" s="106"/>
      <c r="F13" s="105"/>
      <c r="G13" s="105"/>
    </row>
    <row r="14" spans="2:7" s="11" customFormat="1" ht="51">
      <c r="B14" s="155" t="s">
        <v>584</v>
      </c>
      <c r="C14" s="167" t="s">
        <v>586</v>
      </c>
      <c r="D14" s="663" t="s">
        <v>587</v>
      </c>
      <c r="E14" s="106"/>
      <c r="F14" s="105"/>
      <c r="G14" s="105"/>
    </row>
    <row r="15" spans="2:7" s="11" customFormat="1" ht="51.75" thickBot="1">
      <c r="B15" s="664" t="s">
        <v>583</v>
      </c>
      <c r="C15" s="166" t="s">
        <v>589</v>
      </c>
      <c r="D15" s="665" t="s">
        <v>590</v>
      </c>
      <c r="E15" s="106"/>
      <c r="F15" s="105"/>
      <c r="G15" s="105"/>
    </row>
    <row r="16" spans="2:4" ht="21.75" customHeight="1">
      <c r="B16" s="151"/>
      <c r="C16" s="146"/>
      <c r="D16" s="147"/>
    </row>
    <row r="17" spans="2:4" ht="18" customHeight="1" thickBot="1">
      <c r="B17" s="747" t="s">
        <v>169</v>
      </c>
      <c r="C17" s="747"/>
      <c r="D17" s="747"/>
    </row>
    <row r="18" spans="2:7" ht="32.25" customHeight="1">
      <c r="B18" s="153" t="s">
        <v>212</v>
      </c>
      <c r="C18" s="160" t="s">
        <v>213</v>
      </c>
      <c r="D18" s="161" t="s">
        <v>214</v>
      </c>
      <c r="E18" s="104" t="s">
        <v>465</v>
      </c>
      <c r="G18" s="105" t="s">
        <v>467</v>
      </c>
    </row>
    <row r="19" spans="2:7" ht="30.75" customHeight="1">
      <c r="B19" s="154" t="s">
        <v>406</v>
      </c>
      <c r="C19" s="159" t="s">
        <v>215</v>
      </c>
      <c r="D19" s="162" t="s">
        <v>216</v>
      </c>
      <c r="E19" s="104">
        <v>1</v>
      </c>
      <c r="G19" s="105">
        <v>7</v>
      </c>
    </row>
    <row r="20" spans="2:7" ht="66.75" customHeight="1">
      <c r="B20" s="154" t="s">
        <v>407</v>
      </c>
      <c r="C20" s="159" t="s">
        <v>217</v>
      </c>
      <c r="D20" s="163" t="s">
        <v>218</v>
      </c>
      <c r="E20" s="104">
        <v>2</v>
      </c>
      <c r="G20" s="105">
        <v>28</v>
      </c>
    </row>
    <row r="21" spans="2:7" ht="69" customHeight="1">
      <c r="B21" s="154" t="s">
        <v>408</v>
      </c>
      <c r="C21" s="159" t="s">
        <v>219</v>
      </c>
      <c r="D21" s="162" t="s">
        <v>474</v>
      </c>
      <c r="E21" s="104">
        <v>3</v>
      </c>
      <c r="G21" s="105">
        <v>26</v>
      </c>
    </row>
    <row r="22" spans="2:7" ht="39" customHeight="1">
      <c r="B22" s="154" t="s">
        <v>409</v>
      </c>
      <c r="C22" s="159" t="s">
        <v>220</v>
      </c>
      <c r="D22" s="162" t="s">
        <v>221</v>
      </c>
      <c r="E22" s="104">
        <v>4</v>
      </c>
      <c r="G22" s="105">
        <v>19</v>
      </c>
    </row>
    <row r="23" spans="2:7" ht="27" customHeight="1">
      <c r="B23" s="154" t="s">
        <v>410</v>
      </c>
      <c r="C23" s="159" t="s">
        <v>177</v>
      </c>
      <c r="D23" s="163" t="s">
        <v>222</v>
      </c>
      <c r="E23" s="104">
        <v>5</v>
      </c>
      <c r="G23" s="105">
        <v>20</v>
      </c>
    </row>
    <row r="24" spans="2:7" ht="40.5" customHeight="1">
      <c r="B24" s="154" t="s">
        <v>411</v>
      </c>
      <c r="C24" s="159" t="s">
        <v>223</v>
      </c>
      <c r="D24" s="162" t="s">
        <v>224</v>
      </c>
      <c r="E24" s="104">
        <v>6</v>
      </c>
      <c r="G24" s="105">
        <v>21</v>
      </c>
    </row>
    <row r="25" spans="2:4" ht="28.5" customHeight="1">
      <c r="B25" s="154" t="s">
        <v>418</v>
      </c>
      <c r="C25" s="159" t="s">
        <v>475</v>
      </c>
      <c r="D25" s="162" t="s">
        <v>225</v>
      </c>
    </row>
    <row r="26" spans="2:4" ht="26.25" customHeight="1">
      <c r="B26" s="154" t="s">
        <v>419</v>
      </c>
      <c r="C26" s="159" t="s">
        <v>476</v>
      </c>
      <c r="D26" s="162" t="s">
        <v>477</v>
      </c>
    </row>
    <row r="27" spans="2:7" ht="42" customHeight="1">
      <c r="B27" s="154" t="s">
        <v>471</v>
      </c>
      <c r="C27" s="159" t="s">
        <v>226</v>
      </c>
      <c r="D27" s="162" t="s">
        <v>227</v>
      </c>
      <c r="E27" s="104">
        <v>6</v>
      </c>
      <c r="G27" s="105">
        <v>21</v>
      </c>
    </row>
    <row r="28" spans="2:7" ht="27.75" customHeight="1">
      <c r="B28" s="154" t="s">
        <v>442</v>
      </c>
      <c r="C28" s="159" t="s">
        <v>228</v>
      </c>
      <c r="D28" s="162" t="s">
        <v>229</v>
      </c>
      <c r="E28" s="104">
        <v>8</v>
      </c>
      <c r="G28" s="105">
        <v>47</v>
      </c>
    </row>
    <row r="29" spans="1:7" ht="95.25" customHeight="1">
      <c r="A29" s="11"/>
      <c r="B29" s="154" t="s">
        <v>445</v>
      </c>
      <c r="C29" s="159" t="s">
        <v>230</v>
      </c>
      <c r="D29" s="164" t="s">
        <v>556</v>
      </c>
      <c r="E29" s="104">
        <v>22</v>
      </c>
      <c r="G29" s="105" t="s">
        <v>468</v>
      </c>
    </row>
    <row r="30" spans="2:7" s="11" customFormat="1" ht="78.75" customHeight="1">
      <c r="B30" s="154" t="s">
        <v>445</v>
      </c>
      <c r="C30" s="159" t="s">
        <v>231</v>
      </c>
      <c r="D30" s="164" t="s">
        <v>240</v>
      </c>
      <c r="E30" s="104"/>
      <c r="F30" s="105"/>
      <c r="G30" s="105"/>
    </row>
    <row r="31" spans="2:5" ht="27" customHeight="1">
      <c r="B31" s="155" t="s">
        <v>472</v>
      </c>
      <c r="C31" s="159" t="s">
        <v>241</v>
      </c>
      <c r="D31" s="164" t="s">
        <v>512</v>
      </c>
      <c r="E31" s="104">
        <v>9</v>
      </c>
    </row>
    <row r="32" spans="2:7" s="11" customFormat="1" ht="30" customHeight="1">
      <c r="B32" s="154" t="s">
        <v>412</v>
      </c>
      <c r="C32" s="159" t="s">
        <v>478</v>
      </c>
      <c r="D32" s="164" t="s">
        <v>242</v>
      </c>
      <c r="E32" s="104"/>
      <c r="F32" s="105"/>
      <c r="G32" s="105"/>
    </row>
    <row r="33" spans="2:7" s="11" customFormat="1" ht="67.5" customHeight="1">
      <c r="B33" s="154" t="s">
        <v>473</v>
      </c>
      <c r="C33" s="159" t="s">
        <v>479</v>
      </c>
      <c r="D33" s="164" t="s">
        <v>339</v>
      </c>
      <c r="E33" s="104"/>
      <c r="F33" s="105"/>
      <c r="G33" s="105"/>
    </row>
    <row r="34" spans="2:7" s="11" customFormat="1" ht="78" customHeight="1">
      <c r="B34" s="155" t="s">
        <v>518</v>
      </c>
      <c r="C34" s="169" t="s">
        <v>243</v>
      </c>
      <c r="D34" s="163" t="s">
        <v>340</v>
      </c>
      <c r="E34" s="104">
        <v>25</v>
      </c>
      <c r="F34" s="105"/>
      <c r="G34" s="105"/>
    </row>
    <row r="35" spans="2:7" s="11" customFormat="1" ht="30" customHeight="1">
      <c r="B35" s="155" t="s">
        <v>542</v>
      </c>
      <c r="C35" s="169" t="s">
        <v>244</v>
      </c>
      <c r="D35" s="163" t="s">
        <v>245</v>
      </c>
      <c r="E35" s="104"/>
      <c r="F35" s="105"/>
      <c r="G35" s="105"/>
    </row>
    <row r="36" spans="2:7" s="11" customFormat="1" ht="51.75" customHeight="1">
      <c r="B36" s="155" t="s">
        <v>543</v>
      </c>
      <c r="C36" s="169" t="s">
        <v>341</v>
      </c>
      <c r="D36" s="163" t="s">
        <v>127</v>
      </c>
      <c r="E36" s="104"/>
      <c r="F36" s="105"/>
      <c r="G36" s="105"/>
    </row>
    <row r="37" spans="2:7" s="11" customFormat="1" ht="30" customHeight="1">
      <c r="B37" s="155" t="s">
        <v>593</v>
      </c>
      <c r="C37" s="167" t="s">
        <v>262</v>
      </c>
      <c r="D37" s="163" t="s">
        <v>131</v>
      </c>
      <c r="E37" s="104"/>
      <c r="F37" s="105"/>
      <c r="G37" s="105"/>
    </row>
    <row r="38" spans="2:7" s="11" customFormat="1" ht="51.75" customHeight="1">
      <c r="B38" s="155" t="s">
        <v>519</v>
      </c>
      <c r="C38" s="174" t="s">
        <v>597</v>
      </c>
      <c r="D38" s="163" t="s">
        <v>594</v>
      </c>
      <c r="E38" s="104"/>
      <c r="F38" s="105"/>
      <c r="G38" s="105"/>
    </row>
    <row r="39" spans="2:7" s="11" customFormat="1" ht="40.5" customHeight="1">
      <c r="B39" s="155" t="s">
        <v>415</v>
      </c>
      <c r="C39" s="169" t="s">
        <v>342</v>
      </c>
      <c r="D39" s="163" t="s">
        <v>128</v>
      </c>
      <c r="E39" s="104"/>
      <c r="F39" s="105"/>
      <c r="G39" s="105"/>
    </row>
    <row r="40" spans="2:7" s="11" customFormat="1" ht="63.75">
      <c r="B40" s="155" t="s">
        <v>528</v>
      </c>
      <c r="C40" s="169" t="s">
        <v>596</v>
      </c>
      <c r="D40" s="163" t="s">
        <v>595</v>
      </c>
      <c r="E40" s="104"/>
      <c r="F40" s="105"/>
      <c r="G40" s="105"/>
    </row>
    <row r="41" spans="2:7" s="11" customFormat="1" ht="52.5" customHeight="1">
      <c r="B41" s="155" t="s">
        <v>529</v>
      </c>
      <c r="C41" s="169" t="s">
        <v>598</v>
      </c>
      <c r="D41" s="163" t="s">
        <v>129</v>
      </c>
      <c r="E41" s="104">
        <v>51</v>
      </c>
      <c r="F41" s="105"/>
      <c r="G41" s="105"/>
    </row>
    <row r="42" spans="2:7" s="11" customFormat="1" ht="52.5" customHeight="1">
      <c r="B42" s="155" t="s">
        <v>601</v>
      </c>
      <c r="C42" s="169" t="s">
        <v>599</v>
      </c>
      <c r="D42" s="163" t="s">
        <v>600</v>
      </c>
      <c r="E42" s="104"/>
      <c r="F42" s="105"/>
      <c r="G42" s="105"/>
    </row>
    <row r="43" spans="2:7" s="11" customFormat="1" ht="39.75" customHeight="1">
      <c r="B43" s="155" t="s">
        <v>530</v>
      </c>
      <c r="C43" s="169" t="s">
        <v>246</v>
      </c>
      <c r="D43" s="163" t="s">
        <v>130</v>
      </c>
      <c r="E43" s="104"/>
      <c r="F43" s="105"/>
      <c r="G43" s="105"/>
    </row>
    <row r="44" spans="2:5" ht="15.75" customHeight="1">
      <c r="B44" s="155" t="s">
        <v>531</v>
      </c>
      <c r="C44" s="159" t="s">
        <v>247</v>
      </c>
      <c r="D44" s="163" t="s">
        <v>248</v>
      </c>
      <c r="E44" s="104">
        <v>12</v>
      </c>
    </row>
    <row r="45" spans="2:5" ht="39" customHeight="1">
      <c r="B45" s="155" t="s">
        <v>634</v>
      </c>
      <c r="C45" s="159" t="s">
        <v>249</v>
      </c>
      <c r="D45" s="163" t="s">
        <v>250</v>
      </c>
      <c r="E45" s="104">
        <v>13</v>
      </c>
    </row>
    <row r="46" spans="2:5" ht="31.5" customHeight="1">
      <c r="B46" s="155" t="s">
        <v>532</v>
      </c>
      <c r="C46" s="159" t="s">
        <v>480</v>
      </c>
      <c r="D46" s="163" t="s">
        <v>251</v>
      </c>
      <c r="E46" s="104">
        <v>14</v>
      </c>
    </row>
    <row r="47" spans="2:5" ht="30.75" customHeight="1">
      <c r="B47" s="155" t="s">
        <v>602</v>
      </c>
      <c r="C47" s="159" t="s">
        <v>252</v>
      </c>
      <c r="D47" s="163" t="s">
        <v>253</v>
      </c>
      <c r="E47" s="104">
        <v>15</v>
      </c>
    </row>
    <row r="48" spans="2:5" ht="27" customHeight="1">
      <c r="B48" s="155" t="s">
        <v>603</v>
      </c>
      <c r="C48" s="159" t="s">
        <v>254</v>
      </c>
      <c r="D48" s="165" t="s">
        <v>255</v>
      </c>
      <c r="E48" s="104">
        <v>16</v>
      </c>
    </row>
    <row r="49" spans="2:5" ht="27.75" customHeight="1">
      <c r="B49" s="155" t="s">
        <v>604</v>
      </c>
      <c r="C49" s="159" t="s">
        <v>256</v>
      </c>
      <c r="D49" s="163" t="s">
        <v>257</v>
      </c>
      <c r="E49" s="104">
        <v>17</v>
      </c>
    </row>
    <row r="50" spans="2:5" ht="52.5" customHeight="1">
      <c r="B50" s="155" t="s">
        <v>605</v>
      </c>
      <c r="C50" s="159" t="s">
        <v>258</v>
      </c>
      <c r="D50" s="163" t="s">
        <v>481</v>
      </c>
      <c r="E50" s="104">
        <v>31</v>
      </c>
    </row>
    <row r="51" spans="2:5" ht="39.75" customHeight="1">
      <c r="B51" s="155" t="s">
        <v>606</v>
      </c>
      <c r="C51" s="169" t="s">
        <v>259</v>
      </c>
      <c r="D51" s="163" t="s">
        <v>260</v>
      </c>
      <c r="E51" s="104">
        <v>52</v>
      </c>
    </row>
    <row r="52" spans="2:4" ht="39.75" customHeight="1">
      <c r="B52" s="156" t="s">
        <v>630</v>
      </c>
      <c r="C52" s="177" t="s">
        <v>343</v>
      </c>
      <c r="D52" s="173" t="s">
        <v>261</v>
      </c>
    </row>
    <row r="53" spans="1:7" s="11" customFormat="1" ht="38.25">
      <c r="A53" s="2"/>
      <c r="B53" s="157" t="s">
        <v>607</v>
      </c>
      <c r="C53" s="174" t="s">
        <v>617</v>
      </c>
      <c r="D53" s="163" t="s">
        <v>608</v>
      </c>
      <c r="E53" s="104"/>
      <c r="F53" s="105"/>
      <c r="G53" s="105"/>
    </row>
    <row r="54" spans="1:7" s="11" customFormat="1" ht="40.5" customHeight="1">
      <c r="A54" s="2"/>
      <c r="B54" s="157" t="s">
        <v>609</v>
      </c>
      <c r="C54" s="174" t="s">
        <v>616</v>
      </c>
      <c r="D54" s="163" t="s">
        <v>334</v>
      </c>
      <c r="E54" s="104"/>
      <c r="F54" s="105"/>
      <c r="G54" s="105"/>
    </row>
    <row r="55" spans="1:7" s="11" customFormat="1" ht="63.75">
      <c r="A55" s="2"/>
      <c r="B55" s="157" t="s">
        <v>610</v>
      </c>
      <c r="C55" s="174" t="s">
        <v>619</v>
      </c>
      <c r="D55" s="163" t="s">
        <v>631</v>
      </c>
      <c r="E55" s="104"/>
      <c r="F55" s="105"/>
      <c r="G55" s="105"/>
    </row>
    <row r="56" spans="1:7" s="11" customFormat="1" ht="41.25" customHeight="1">
      <c r="A56" s="2"/>
      <c r="B56" s="157" t="s">
        <v>611</v>
      </c>
      <c r="C56" s="174" t="s">
        <v>615</v>
      </c>
      <c r="D56" s="163" t="s">
        <v>263</v>
      </c>
      <c r="E56" s="104"/>
      <c r="F56" s="105"/>
      <c r="G56" s="105"/>
    </row>
    <row r="57" spans="1:7" s="11" customFormat="1" ht="41.25" customHeight="1">
      <c r="A57" s="2"/>
      <c r="B57" s="157" t="s">
        <v>612</v>
      </c>
      <c r="C57" s="174" t="s">
        <v>614</v>
      </c>
      <c r="D57" s="163" t="s">
        <v>613</v>
      </c>
      <c r="E57" s="104"/>
      <c r="F57" s="105"/>
      <c r="G57" s="105"/>
    </row>
    <row r="58" spans="1:7" s="11" customFormat="1" ht="26.25" customHeight="1">
      <c r="A58" s="2"/>
      <c r="B58" s="154" t="s">
        <v>618</v>
      </c>
      <c r="C58" s="169" t="s">
        <v>264</v>
      </c>
      <c r="D58" s="163" t="s">
        <v>265</v>
      </c>
      <c r="E58" s="104"/>
      <c r="F58" s="105"/>
      <c r="G58" s="105"/>
    </row>
    <row r="59" spans="1:4" ht="40.5" customHeight="1">
      <c r="A59" s="11"/>
      <c r="B59" s="155" t="s">
        <v>533</v>
      </c>
      <c r="C59" s="159" t="s">
        <v>266</v>
      </c>
      <c r="D59" s="163" t="s">
        <v>347</v>
      </c>
    </row>
    <row r="60" spans="2:7" s="11" customFormat="1" ht="43.5" customHeight="1">
      <c r="B60" s="155" t="s">
        <v>534</v>
      </c>
      <c r="C60" s="159" t="s">
        <v>267</v>
      </c>
      <c r="D60" s="163" t="s">
        <v>270</v>
      </c>
      <c r="E60" s="104">
        <v>30</v>
      </c>
      <c r="F60" s="105"/>
      <c r="G60" s="105"/>
    </row>
    <row r="61" spans="2:7" s="11" customFormat="1" ht="41.25" customHeight="1">
      <c r="B61" s="155" t="s">
        <v>515</v>
      </c>
      <c r="C61" s="159" t="s">
        <v>271</v>
      </c>
      <c r="D61" s="163" t="s">
        <v>272</v>
      </c>
      <c r="E61" s="104">
        <v>29</v>
      </c>
      <c r="F61" s="105"/>
      <c r="G61" s="105"/>
    </row>
    <row r="62" spans="2:7" s="11" customFormat="1" ht="41.25" customHeight="1">
      <c r="B62" s="155" t="s">
        <v>516</v>
      </c>
      <c r="C62" s="159" t="s">
        <v>273</v>
      </c>
      <c r="D62" s="163" t="s">
        <v>274</v>
      </c>
      <c r="E62" s="104"/>
      <c r="F62" s="105"/>
      <c r="G62" s="105"/>
    </row>
    <row r="63" spans="2:7" s="11" customFormat="1" ht="41.25" customHeight="1">
      <c r="B63" s="155" t="s">
        <v>517</v>
      </c>
      <c r="C63" s="159" t="s">
        <v>276</v>
      </c>
      <c r="D63" s="163" t="s">
        <v>275</v>
      </c>
      <c r="E63" s="104"/>
      <c r="F63" s="105"/>
      <c r="G63" s="105"/>
    </row>
    <row r="64" spans="2:7" s="11" customFormat="1" ht="64.5" customHeight="1">
      <c r="B64" s="155" t="s">
        <v>539</v>
      </c>
      <c r="C64" s="159" t="s">
        <v>482</v>
      </c>
      <c r="D64" s="164" t="s">
        <v>620</v>
      </c>
      <c r="E64" s="104">
        <v>18</v>
      </c>
      <c r="F64" s="105"/>
      <c r="G64" s="105"/>
    </row>
    <row r="65" spans="2:7" s="11" customFormat="1" ht="25.5">
      <c r="B65" s="155" t="s">
        <v>622</v>
      </c>
      <c r="C65" s="169" t="s">
        <v>279</v>
      </c>
      <c r="D65" s="164" t="s">
        <v>132</v>
      </c>
      <c r="E65" s="104"/>
      <c r="F65" s="105"/>
      <c r="G65" s="105"/>
    </row>
    <row r="66" spans="1:7" s="11" customFormat="1" ht="54.75" customHeight="1">
      <c r="A66" s="2"/>
      <c r="B66" s="155" t="s">
        <v>623</v>
      </c>
      <c r="C66" s="159" t="s">
        <v>280</v>
      </c>
      <c r="D66" s="163" t="s">
        <v>281</v>
      </c>
      <c r="E66" s="104"/>
      <c r="F66" s="105"/>
      <c r="G66" s="105"/>
    </row>
    <row r="67" spans="1:7" s="11" customFormat="1" ht="54" customHeight="1">
      <c r="A67" s="2"/>
      <c r="B67" s="155" t="s">
        <v>621</v>
      </c>
      <c r="C67" s="159" t="s">
        <v>282</v>
      </c>
      <c r="D67" s="163" t="s">
        <v>483</v>
      </c>
      <c r="E67" s="104"/>
      <c r="F67" s="105"/>
      <c r="G67" s="105"/>
    </row>
    <row r="68" spans="1:7" s="11" customFormat="1" ht="58.5" customHeight="1">
      <c r="A68" s="2"/>
      <c r="B68" s="155" t="s">
        <v>624</v>
      </c>
      <c r="C68" s="159" t="s">
        <v>283</v>
      </c>
      <c r="D68" s="163" t="s">
        <v>285</v>
      </c>
      <c r="E68" s="104">
        <v>34</v>
      </c>
      <c r="F68" s="105"/>
      <c r="G68" s="105"/>
    </row>
    <row r="69" spans="2:5" ht="57" customHeight="1">
      <c r="B69" s="155" t="s">
        <v>625</v>
      </c>
      <c r="C69" s="159" t="s">
        <v>284</v>
      </c>
      <c r="D69" s="163" t="s">
        <v>286</v>
      </c>
      <c r="E69" s="104">
        <v>35</v>
      </c>
    </row>
    <row r="70" spans="2:5" ht="80.25" customHeight="1">
      <c r="B70" s="155" t="s">
        <v>626</v>
      </c>
      <c r="C70" s="159" t="s">
        <v>287</v>
      </c>
      <c r="D70" s="163" t="s">
        <v>540</v>
      </c>
      <c r="E70" s="104">
        <v>53</v>
      </c>
    </row>
    <row r="71" spans="1:5" ht="51.75" customHeight="1">
      <c r="A71" s="110"/>
      <c r="B71" s="155" t="s">
        <v>627</v>
      </c>
      <c r="C71" s="159" t="s">
        <v>288</v>
      </c>
      <c r="D71" s="164" t="s">
        <v>484</v>
      </c>
      <c r="E71" s="104">
        <v>36</v>
      </c>
    </row>
    <row r="72" spans="1:7" s="21" customFormat="1" ht="51">
      <c r="A72" s="2"/>
      <c r="B72" s="155" t="s">
        <v>628</v>
      </c>
      <c r="C72" s="159" t="s">
        <v>289</v>
      </c>
      <c r="D72" s="163" t="s">
        <v>290</v>
      </c>
      <c r="E72" s="104">
        <v>42</v>
      </c>
      <c r="F72" s="107"/>
      <c r="G72" s="107"/>
    </row>
    <row r="73" spans="2:5" ht="38.25" customHeight="1">
      <c r="B73" s="155" t="s">
        <v>535</v>
      </c>
      <c r="C73" s="159" t="s">
        <v>291</v>
      </c>
      <c r="D73" s="163" t="s">
        <v>485</v>
      </c>
      <c r="E73" s="104">
        <v>43</v>
      </c>
    </row>
    <row r="74" spans="1:5" ht="40.5" customHeight="1">
      <c r="A74" s="11"/>
      <c r="B74" s="155" t="s">
        <v>536</v>
      </c>
      <c r="C74" s="159" t="s">
        <v>232</v>
      </c>
      <c r="D74" s="163" t="s">
        <v>486</v>
      </c>
      <c r="E74" s="104">
        <v>44</v>
      </c>
    </row>
    <row r="75" spans="1:5" ht="53.25" customHeight="1">
      <c r="A75" s="11"/>
      <c r="B75" s="155" t="s">
        <v>537</v>
      </c>
      <c r="C75" s="159" t="s">
        <v>292</v>
      </c>
      <c r="D75" s="163" t="s">
        <v>293</v>
      </c>
      <c r="E75" s="104">
        <v>45</v>
      </c>
    </row>
    <row r="76" spans="2:7" s="11" customFormat="1" ht="42.75" customHeight="1">
      <c r="B76" s="155" t="s">
        <v>538</v>
      </c>
      <c r="C76" s="159" t="s">
        <v>133</v>
      </c>
      <c r="D76" s="163" t="s">
        <v>487</v>
      </c>
      <c r="E76" s="104">
        <v>46</v>
      </c>
      <c r="F76" s="105"/>
      <c r="G76" s="105"/>
    </row>
    <row r="77" spans="1:7" s="11" customFormat="1" ht="27.75" customHeight="1">
      <c r="A77" s="2"/>
      <c r="B77" s="154"/>
      <c r="C77" s="159" t="s">
        <v>294</v>
      </c>
      <c r="D77" s="163" t="s">
        <v>295</v>
      </c>
      <c r="E77" s="104">
        <v>48</v>
      </c>
      <c r="F77" s="105"/>
      <c r="G77" s="105"/>
    </row>
    <row r="78" spans="2:16" ht="38.25">
      <c r="B78" s="154"/>
      <c r="C78" s="167" t="s">
        <v>296</v>
      </c>
      <c r="D78" s="168" t="s">
        <v>420</v>
      </c>
      <c r="E78" s="104">
        <v>49</v>
      </c>
      <c r="H78" s="11"/>
      <c r="I78" s="11"/>
      <c r="J78" s="11"/>
      <c r="K78" s="11"/>
      <c r="L78" s="11"/>
      <c r="M78" s="11"/>
      <c r="N78" s="11"/>
      <c r="O78" s="11"/>
      <c r="P78" s="11"/>
    </row>
    <row r="79" spans="2:16" ht="30" customHeight="1" thickBot="1">
      <c r="B79" s="158"/>
      <c r="C79" s="166" t="s">
        <v>297</v>
      </c>
      <c r="D79" s="175" t="s">
        <v>332</v>
      </c>
      <c r="E79" s="104">
        <v>50</v>
      </c>
      <c r="H79" s="11"/>
      <c r="I79" s="11"/>
      <c r="J79" s="11"/>
      <c r="K79" s="11"/>
      <c r="L79" s="11"/>
      <c r="M79" s="11"/>
      <c r="N79" s="11"/>
      <c r="O79" s="11"/>
      <c r="P79" s="11"/>
    </row>
    <row r="80" spans="2:4" ht="27.75" customHeight="1">
      <c r="B80" s="103"/>
      <c r="C80" s="42"/>
      <c r="D80" s="42"/>
    </row>
    <row r="81" spans="2:4" ht="12.75">
      <c r="B81" s="103"/>
      <c r="C81" s="42"/>
      <c r="D81" s="42"/>
    </row>
    <row r="82" spans="2:4" ht="12.75">
      <c r="B82" s="103"/>
      <c r="C82" s="42"/>
      <c r="D82" s="42"/>
    </row>
    <row r="83" spans="2:4" ht="12.75">
      <c r="B83" s="103"/>
      <c r="C83" s="42"/>
      <c r="D83" s="42"/>
    </row>
    <row r="84" spans="2:4" ht="12.75">
      <c r="B84" s="103"/>
      <c r="C84" s="42"/>
      <c r="D84" s="42"/>
    </row>
    <row r="85" spans="2:4" ht="12.75">
      <c r="B85" s="103"/>
      <c r="C85" s="42"/>
      <c r="D85" s="42"/>
    </row>
    <row r="86" spans="2:4" ht="12.75">
      <c r="B86" s="103"/>
      <c r="C86" s="42"/>
      <c r="D86" s="42"/>
    </row>
    <row r="87" spans="2:4" ht="12.75">
      <c r="B87" s="103"/>
      <c r="C87" s="42"/>
      <c r="D87" s="42"/>
    </row>
    <row r="88" spans="2:4" ht="12.75">
      <c r="B88" s="103"/>
      <c r="C88" s="42"/>
      <c r="D88" s="42"/>
    </row>
    <row r="89" spans="2:4" ht="12.75">
      <c r="B89" s="103"/>
      <c r="C89" s="42"/>
      <c r="D89" s="42"/>
    </row>
    <row r="90" spans="2:4" ht="12.75">
      <c r="B90" s="103"/>
      <c r="C90" s="42"/>
      <c r="D90" s="42"/>
    </row>
    <row r="91" spans="2:4" ht="12.75">
      <c r="B91" s="103"/>
      <c r="C91" s="42"/>
      <c r="D91" s="42"/>
    </row>
    <row r="92" spans="2:4" ht="12.75">
      <c r="B92" s="103"/>
      <c r="C92" s="42"/>
      <c r="D92" s="42"/>
    </row>
    <row r="93" spans="2:4" ht="12.75">
      <c r="B93" s="103"/>
      <c r="C93" s="42"/>
      <c r="D93" s="42"/>
    </row>
    <row r="94" spans="2:4" ht="12.75">
      <c r="B94" s="103"/>
      <c r="C94" s="42"/>
      <c r="D94" s="42"/>
    </row>
    <row r="95" spans="2:4" ht="12.75">
      <c r="B95" s="103"/>
      <c r="C95" s="42"/>
      <c r="D95" s="42"/>
    </row>
    <row r="96" spans="2:4" ht="12.75">
      <c r="B96" s="103"/>
      <c r="C96" s="42"/>
      <c r="D96" s="42"/>
    </row>
    <row r="97" spans="2:4" ht="12.75">
      <c r="B97" s="103"/>
      <c r="C97" s="42"/>
      <c r="D97" s="42"/>
    </row>
    <row r="98" spans="2:4" ht="12.75">
      <c r="B98" s="103"/>
      <c r="C98" s="42"/>
      <c r="D98" s="42"/>
    </row>
    <row r="99" spans="2:4" ht="12.75">
      <c r="B99" s="103"/>
      <c r="C99" s="42"/>
      <c r="D99" s="42"/>
    </row>
    <row r="100" spans="2:4" ht="12.75">
      <c r="B100" s="103"/>
      <c r="C100" s="42"/>
      <c r="D100" s="42"/>
    </row>
    <row r="101" spans="2:4" ht="12.75">
      <c r="B101" s="103"/>
      <c r="C101" s="42"/>
      <c r="D101" s="42"/>
    </row>
    <row r="102" spans="2:4" ht="12.75">
      <c r="B102" s="103"/>
      <c r="C102" s="42"/>
      <c r="D102" s="42"/>
    </row>
    <row r="103" spans="2:4" ht="12.75">
      <c r="B103" s="103"/>
      <c r="C103" s="42"/>
      <c r="D103" s="42"/>
    </row>
  </sheetData>
  <sheetProtection sheet="1"/>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8" min="1" max="3" man="1"/>
    <brk id="36" min="1" max="3" man="1"/>
    <brk id="48" min="1" max="3" man="1"/>
    <brk id="59" min="1" max="3" man="1"/>
    <brk id="69"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67"/>
  <sheetViews>
    <sheetView showGridLines="0" zoomScale="70" zoomScaleNormal="70" zoomScaleSheetLayoutView="55" zoomScalePageLayoutView="85" workbookViewId="0" topLeftCell="A1">
      <selection activeCell="A1" sqref="A1"/>
    </sheetView>
  </sheetViews>
  <sheetFormatPr defaultColWidth="12"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9" width="19.83203125" style="49" customWidth="1"/>
    <col min="10" max="10" width="19.16015625" style="49" customWidth="1"/>
    <col min="11" max="11" width="21.5" style="49" customWidth="1"/>
    <col min="12" max="12" width="2.16015625" style="49" customWidth="1"/>
    <col min="13" max="13" width="10.33203125" style="49" customWidth="1"/>
    <col min="14" max="14" width="2.5" style="49" customWidth="1"/>
    <col min="15" max="15" width="23.33203125" style="49" customWidth="1"/>
    <col min="16" max="16" width="13.83203125" style="49" customWidth="1"/>
    <col min="17" max="17" width="19" style="49" customWidth="1"/>
    <col min="18" max="19" width="10.33203125" style="49" customWidth="1"/>
    <col min="20" max="20" width="5.83203125" style="49" customWidth="1"/>
    <col min="21" max="21" width="24.5" style="49" customWidth="1"/>
    <col min="22" max="22" width="6.33203125" style="49" customWidth="1"/>
    <col min="23" max="23" width="2.66015625" style="49" customWidth="1"/>
    <col min="24" max="24" width="16.5" style="49" customWidth="1"/>
    <col min="25" max="25" width="2.16015625" style="49" customWidth="1"/>
    <col min="26" max="26" width="12" style="49" bestFit="1" customWidth="1"/>
    <col min="27" max="27" width="8.16015625" style="49" customWidth="1"/>
    <col min="28" max="28" width="17" style="49" customWidth="1"/>
    <col min="29" max="29" width="2.33203125" style="49" customWidth="1"/>
    <col min="30" max="30" width="12" style="49" bestFit="1" customWidth="1"/>
    <col min="31" max="31" width="8.5" style="49" customWidth="1"/>
    <col min="32" max="32" width="16.66015625" style="49" customWidth="1"/>
    <col min="33" max="33" width="2.66015625" style="49" customWidth="1"/>
    <col min="34" max="34" width="12" style="49" bestFit="1" customWidth="1"/>
    <col min="35" max="35" width="8.83203125" style="49" customWidth="1"/>
    <col min="36" max="36" width="17.66015625" style="49" customWidth="1"/>
    <col min="37" max="37" width="2.16015625" style="49" customWidth="1"/>
    <col min="38" max="38" width="12" style="49" bestFit="1" customWidth="1"/>
    <col min="39" max="39" width="3.16015625" style="49" customWidth="1"/>
    <col min="40" max="40" width="11.83203125" style="49" customWidth="1"/>
    <col min="41" max="41" width="4" style="49" customWidth="1"/>
    <col min="42" max="42" width="11.5" style="49" customWidth="1"/>
    <col min="43" max="43" width="2.5" style="49" customWidth="1"/>
    <col min="44" max="44" width="12" style="49" customWidth="1"/>
    <col min="45" max="45" width="2" style="49" customWidth="1"/>
    <col min="46" max="46" width="2.66015625" style="49" customWidth="1"/>
    <col min="47" max="16384" width="12" style="49" customWidth="1"/>
  </cols>
  <sheetData>
    <row r="1" spans="1:124" ht="15.75">
      <c r="A1" s="47"/>
      <c r="B1" s="47"/>
      <c r="C1" s="47"/>
      <c r="D1" s="48" t="s">
        <v>165</v>
      </c>
      <c r="E1" s="48"/>
      <c r="F1" s="48"/>
      <c r="G1" s="48"/>
      <c r="H1" s="48"/>
      <c r="I1" s="48"/>
      <c r="J1" s="48"/>
      <c r="K1" s="48"/>
      <c r="L1" s="48"/>
      <c r="M1" s="48"/>
      <c r="N1" s="48"/>
      <c r="O1" s="48"/>
      <c r="P1" s="48"/>
      <c r="Q1" s="48"/>
      <c r="R1" s="48"/>
      <c r="S1" s="48"/>
      <c r="T1" s="48"/>
      <c r="U1" s="48"/>
      <c r="V1" s="48"/>
      <c r="W1" s="48"/>
      <c r="X1" s="93"/>
      <c r="Y1" s="93"/>
      <c r="Z1" s="93"/>
      <c r="AA1" s="93"/>
      <c r="AB1" s="93"/>
      <c r="AC1" s="93"/>
      <c r="AD1" s="93"/>
      <c r="AE1" s="93"/>
      <c r="AF1" s="93"/>
      <c r="AG1" s="93"/>
      <c r="AH1" s="93"/>
      <c r="AI1" s="93"/>
      <c r="AJ1" s="93"/>
      <c r="AK1" s="93"/>
      <c r="AL1" s="93"/>
      <c r="AM1" s="93"/>
      <c r="AN1" s="93"/>
      <c r="AO1" s="93"/>
      <c r="AP1" s="93"/>
      <c r="AQ1" s="93"/>
      <c r="AR1" s="93"/>
      <c r="AS1" s="93"/>
      <c r="AT1" s="93"/>
      <c r="AU1" s="94"/>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row>
    <row r="2" spans="1:124" s="20" customFormat="1" ht="33" customHeight="1">
      <c r="A2" s="108"/>
      <c r="B2" s="108"/>
      <c r="C2" s="108"/>
      <c r="D2" s="762" t="s">
        <v>497</v>
      </c>
      <c r="E2" s="762"/>
      <c r="F2" s="762"/>
      <c r="G2" s="762"/>
      <c r="H2" s="762"/>
      <c r="I2" s="762"/>
      <c r="J2" s="762"/>
      <c r="K2" s="762"/>
      <c r="L2" s="762"/>
      <c r="M2" s="762"/>
      <c r="N2" s="762"/>
      <c r="O2" s="762"/>
      <c r="P2" s="762"/>
      <c r="Q2" s="762"/>
      <c r="R2" s="762"/>
      <c r="S2" s="762"/>
      <c r="T2" s="762"/>
      <c r="U2" s="762"/>
      <c r="V2" s="762"/>
      <c r="W2" s="762"/>
      <c r="X2" s="96"/>
      <c r="Y2" s="96"/>
      <c r="Z2" s="96"/>
      <c r="AA2" s="96"/>
      <c r="AB2" s="96"/>
      <c r="AC2" s="96"/>
      <c r="AD2" s="96"/>
      <c r="AE2" s="96"/>
      <c r="AF2" s="96"/>
      <c r="AG2" s="55"/>
      <c r="AH2" s="95"/>
      <c r="AI2" s="112"/>
      <c r="AJ2" s="112"/>
      <c r="AK2" s="112"/>
      <c r="AL2" s="112"/>
      <c r="AM2" s="112"/>
      <c r="AN2" s="112"/>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row>
    <row r="3" spans="1:124" ht="15.75">
      <c r="A3" s="47"/>
      <c r="B3" s="47"/>
      <c r="C3" s="47"/>
      <c r="D3" s="763" t="s">
        <v>298</v>
      </c>
      <c r="E3" s="763"/>
      <c r="F3" s="763"/>
      <c r="G3" s="763"/>
      <c r="H3" s="763"/>
      <c r="I3" s="763"/>
      <c r="J3" s="763"/>
      <c r="K3" s="763"/>
      <c r="L3" s="763"/>
      <c r="M3" s="763"/>
      <c r="N3" s="763"/>
      <c r="O3" s="763"/>
      <c r="P3" s="763"/>
      <c r="Q3" s="763"/>
      <c r="R3" s="763"/>
      <c r="S3" s="763"/>
      <c r="T3" s="763"/>
      <c r="U3" s="763"/>
      <c r="V3" s="763"/>
      <c r="W3" s="763"/>
      <c r="X3" s="93"/>
      <c r="Y3" s="93"/>
      <c r="Z3" s="93"/>
      <c r="AA3" s="93"/>
      <c r="AB3" s="93"/>
      <c r="AC3" s="93"/>
      <c r="AD3" s="93"/>
      <c r="AE3" s="93"/>
      <c r="AF3" s="93"/>
      <c r="AG3" s="93"/>
      <c r="AH3" s="93"/>
      <c r="AI3" s="93"/>
      <c r="AJ3" s="93"/>
      <c r="AK3" s="93"/>
      <c r="AL3" s="93"/>
      <c r="AM3" s="93"/>
      <c r="AN3" s="93"/>
      <c r="AO3" s="93"/>
      <c r="AP3" s="93"/>
      <c r="AQ3" s="93"/>
      <c r="AR3" s="93"/>
      <c r="AS3" s="93"/>
      <c r="AT3" s="93"/>
      <c r="AU3" s="94"/>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row>
    <row r="4" spans="1:124" ht="8.25" customHeight="1" thickBot="1">
      <c r="A4" s="47"/>
      <c r="B4" s="47"/>
      <c r="C4" s="47"/>
      <c r="D4" s="47"/>
      <c r="E4" s="47"/>
      <c r="F4" s="47"/>
      <c r="G4" s="47"/>
      <c r="H4" s="47"/>
      <c r="I4" s="47"/>
      <c r="J4" s="47"/>
      <c r="K4" s="47"/>
      <c r="L4" s="47"/>
      <c r="M4" s="47"/>
      <c r="N4" s="47"/>
      <c r="O4" s="47"/>
      <c r="P4" s="47"/>
      <c r="Q4" s="47"/>
      <c r="R4" s="47"/>
      <c r="S4" s="47"/>
      <c r="T4" s="47"/>
      <c r="U4" s="47"/>
      <c r="V4" s="47"/>
      <c r="W4" s="47"/>
      <c r="X4" s="94"/>
      <c r="Y4" s="94"/>
      <c r="Z4" s="94"/>
      <c r="AA4" s="94"/>
      <c r="AB4" s="94"/>
      <c r="AC4" s="94"/>
      <c r="AD4" s="94"/>
      <c r="AE4" s="94"/>
      <c r="AF4" s="94"/>
      <c r="AG4" s="94"/>
      <c r="AH4" s="94"/>
      <c r="AI4" s="94"/>
      <c r="AJ4" s="94"/>
      <c r="AK4" s="94"/>
      <c r="AL4" s="94"/>
      <c r="AM4" s="94"/>
      <c r="AN4" s="94"/>
      <c r="AO4" s="94"/>
      <c r="AP4" s="94"/>
      <c r="AQ4" s="94"/>
      <c r="AR4" s="94"/>
      <c r="AS4" s="94"/>
      <c r="AT4" s="94"/>
      <c r="AU4" s="94"/>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row>
    <row r="5" spans="1:124" ht="12.75" customHeight="1">
      <c r="A5" s="47"/>
      <c r="B5" s="59"/>
      <c r="C5" s="69"/>
      <c r="D5" s="60"/>
      <c r="E5" s="61"/>
      <c r="F5" s="61"/>
      <c r="G5" s="60"/>
      <c r="H5" s="60"/>
      <c r="I5" s="60"/>
      <c r="J5" s="61"/>
      <c r="K5" s="61"/>
      <c r="L5" s="61"/>
      <c r="M5" s="61"/>
      <c r="N5" s="61"/>
      <c r="O5" s="61"/>
      <c r="P5" s="61"/>
      <c r="Q5" s="62"/>
      <c r="R5" s="61"/>
      <c r="S5" s="61"/>
      <c r="T5" s="61"/>
      <c r="U5" s="61"/>
      <c r="V5" s="61"/>
      <c r="W5" s="63"/>
      <c r="X5" s="56"/>
      <c r="Y5" s="56"/>
      <c r="Z5" s="94"/>
      <c r="AA5" s="94"/>
      <c r="AB5" s="94"/>
      <c r="AC5" s="94"/>
      <c r="AD5" s="94"/>
      <c r="AE5" s="94"/>
      <c r="AF5" s="94"/>
      <c r="AG5" s="94"/>
      <c r="AH5" s="94"/>
      <c r="AI5" s="94"/>
      <c r="AJ5" s="94"/>
      <c r="AK5" s="94"/>
      <c r="AL5" s="94"/>
      <c r="AM5" s="94"/>
      <c r="AN5" s="94"/>
      <c r="AO5" s="94"/>
      <c r="AP5" s="94"/>
      <c r="AQ5" s="94"/>
      <c r="AR5" s="94"/>
      <c r="AS5" s="94"/>
      <c r="AT5" s="94"/>
      <c r="AU5" s="94"/>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row>
    <row r="6" spans="1:124" ht="12.75">
      <c r="A6" s="47"/>
      <c r="B6" s="64"/>
      <c r="C6" s="71"/>
      <c r="D6" s="72"/>
      <c r="E6" s="73"/>
      <c r="F6" s="73"/>
      <c r="G6" s="73"/>
      <c r="H6" s="73"/>
      <c r="I6" s="73"/>
      <c r="J6" s="73"/>
      <c r="K6" s="73"/>
      <c r="L6" s="73"/>
      <c r="M6" s="73"/>
      <c r="N6" s="73"/>
      <c r="O6" s="73"/>
      <c r="P6" s="73"/>
      <c r="Q6" s="73"/>
      <c r="R6" s="73"/>
      <c r="S6" s="74"/>
      <c r="T6" s="73"/>
      <c r="U6" s="73"/>
      <c r="V6" s="75"/>
      <c r="W6" s="65"/>
      <c r="X6" s="94"/>
      <c r="Y6" s="94"/>
      <c r="Z6" s="94"/>
      <c r="AA6" s="94"/>
      <c r="AB6" s="94"/>
      <c r="AC6" s="94"/>
      <c r="AD6" s="94"/>
      <c r="AE6" s="94"/>
      <c r="AF6" s="94"/>
      <c r="AG6" s="94"/>
      <c r="AH6" s="94"/>
      <c r="AI6" s="94"/>
      <c r="AJ6" s="94"/>
      <c r="AK6" s="94"/>
      <c r="AL6" s="94"/>
      <c r="AM6" s="94"/>
      <c r="AN6" s="94"/>
      <c r="AO6" s="94"/>
      <c r="AP6" s="94"/>
      <c r="AQ6" s="94"/>
      <c r="AR6" s="94"/>
      <c r="AS6" s="94"/>
      <c r="AT6" s="94"/>
      <c r="AU6" s="94"/>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row>
    <row r="7" spans="1:103" ht="43.5" customHeight="1">
      <c r="A7" s="47"/>
      <c r="B7" s="64"/>
      <c r="C7" s="76"/>
      <c r="D7" s="52"/>
      <c r="E7" s="86"/>
      <c r="F7" s="87" t="str">
        <f>'W1'!D8&amp;" (W1,1)"</f>
        <v>Précipitations (W1,1)</v>
      </c>
      <c r="G7" s="87" t="str">
        <f>'W1'!D9&amp;" (W1,2)"</f>
        <v>Évapotranspiration réelle (W1,2)</v>
      </c>
      <c r="H7" s="86"/>
      <c r="I7" s="86"/>
      <c r="J7" s="86"/>
      <c r="K7" s="86"/>
      <c r="L7" s="86"/>
      <c r="M7" s="86"/>
      <c r="N7" s="86"/>
      <c r="O7" s="86"/>
      <c r="P7" s="86"/>
      <c r="Q7" s="86"/>
      <c r="R7" s="86"/>
      <c r="S7" s="86"/>
      <c r="T7" s="86"/>
      <c r="U7" s="86"/>
      <c r="V7" s="77"/>
      <c r="W7" s="65"/>
      <c r="X7" s="94"/>
      <c r="Y7" s="94"/>
      <c r="Z7" s="94"/>
      <c r="AA7" s="94"/>
      <c r="AB7" s="94"/>
      <c r="AC7" s="94"/>
      <c r="AD7" s="94"/>
      <c r="AE7" s="94"/>
      <c r="AF7" s="94"/>
      <c r="AG7" s="94"/>
      <c r="AH7" s="94"/>
      <c r="AI7" s="94"/>
      <c r="AJ7" s="94"/>
      <c r="AK7" s="94"/>
      <c r="AL7" s="94"/>
      <c r="AM7" s="94"/>
      <c r="AN7" s="94"/>
      <c r="AO7" s="94"/>
      <c r="AP7" s="94"/>
      <c r="AQ7" s="94"/>
      <c r="AR7" s="94"/>
      <c r="AS7" s="94"/>
      <c r="AT7" s="94"/>
      <c r="AU7" s="94"/>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row>
    <row r="8" spans="1:103" ht="16.5" customHeight="1">
      <c r="A8" s="47"/>
      <c r="B8" s="64"/>
      <c r="C8" s="76"/>
      <c r="D8" s="88"/>
      <c r="E8" s="86"/>
      <c r="F8" s="89"/>
      <c r="G8" s="89"/>
      <c r="H8" s="86"/>
      <c r="I8" s="86"/>
      <c r="J8" s="86"/>
      <c r="K8" s="86"/>
      <c r="L8" s="86"/>
      <c r="M8" s="86"/>
      <c r="N8" s="86"/>
      <c r="O8" s="86"/>
      <c r="P8" s="86"/>
      <c r="Q8" s="86"/>
      <c r="R8" s="86"/>
      <c r="S8" s="86"/>
      <c r="T8" s="86"/>
      <c r="U8" s="86"/>
      <c r="V8" s="77"/>
      <c r="W8" s="65"/>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row>
    <row r="9" spans="1:103" ht="6" customHeight="1">
      <c r="A9" s="47"/>
      <c r="B9" s="64"/>
      <c r="C9" s="76"/>
      <c r="D9" s="52"/>
      <c r="E9" s="86"/>
      <c r="F9" s="86"/>
      <c r="G9" s="86"/>
      <c r="H9" s="86"/>
      <c r="I9" s="86"/>
      <c r="J9" s="86"/>
      <c r="K9" s="86"/>
      <c r="L9" s="86"/>
      <c r="M9" s="86"/>
      <c r="N9" s="86"/>
      <c r="O9" s="86"/>
      <c r="P9" s="86"/>
      <c r="Q9" s="86"/>
      <c r="R9" s="86"/>
      <c r="S9" s="86"/>
      <c r="T9" s="86"/>
      <c r="U9" s="86"/>
      <c r="V9" s="77"/>
      <c r="W9" s="65"/>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row>
    <row r="10" spans="1:103" ht="24" customHeight="1">
      <c r="A10" s="47"/>
      <c r="B10" s="64"/>
      <c r="C10" s="76"/>
      <c r="D10" s="52"/>
      <c r="E10" s="86"/>
      <c r="F10" s="750" t="str">
        <f>LEFT('W1'!D10,LEN('W1'!D10)-7)&amp;" (W1,3)"</f>
        <v>Flux interne  (W1,3)</v>
      </c>
      <c r="G10" s="751"/>
      <c r="H10" s="86"/>
      <c r="I10" s="86"/>
      <c r="J10" s="86"/>
      <c r="K10" s="86"/>
      <c r="L10" s="86"/>
      <c r="M10" s="86"/>
      <c r="N10" s="86"/>
      <c r="O10" s="86"/>
      <c r="P10" s="86"/>
      <c r="Q10" s="764" t="s">
        <v>442</v>
      </c>
      <c r="R10" s="758" t="s">
        <v>445</v>
      </c>
      <c r="S10" s="759"/>
      <c r="T10" s="86"/>
      <c r="U10" s="86"/>
      <c r="V10" s="77"/>
      <c r="W10" s="65"/>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row>
    <row r="11" spans="1:103" s="50" customFormat="1" ht="36" customHeight="1">
      <c r="A11" s="47"/>
      <c r="B11" s="64"/>
      <c r="C11" s="76"/>
      <c r="D11" s="52"/>
      <c r="E11" s="89"/>
      <c r="F11" s="89"/>
      <c r="G11" s="89"/>
      <c r="H11" s="89"/>
      <c r="I11" s="750" t="str">
        <f>'W1'!D13&amp;" (W1,6)"</f>
        <v>Flux sortant d’eaux de surface et d’eaux souterraines vers les pays voisins (W1,6)</v>
      </c>
      <c r="J11" s="751"/>
      <c r="K11" s="86"/>
      <c r="L11" s="86"/>
      <c r="M11" s="86"/>
      <c r="N11" s="86"/>
      <c r="O11" s="86"/>
      <c r="P11" s="86"/>
      <c r="Q11" s="765"/>
      <c r="R11" s="760"/>
      <c r="S11" s="761"/>
      <c r="T11" s="86"/>
      <c r="U11" s="86"/>
      <c r="V11" s="77"/>
      <c r="W11" s="65"/>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row>
    <row r="12" spans="1:103" ht="46.5" customHeight="1">
      <c r="A12" s="47"/>
      <c r="B12" s="64"/>
      <c r="C12" s="76"/>
      <c r="D12" s="178" t="str">
        <f>'W1'!D11&amp;" (W1,4)"</f>
        <v>Apport externe d’eaux de surface et d’eaux souterraines des pays voisins (W1,4)</v>
      </c>
      <c r="E12" s="86"/>
      <c r="F12" s="87" t="str">
        <f>LEFT('W1'!D12,LEN('W1'!D12)-7)&amp;" (W1,5)"</f>
        <v>Ressources renouvelables en eau douce (W1,5)</v>
      </c>
      <c r="G12" s="86"/>
      <c r="H12" s="86"/>
      <c r="I12" s="86"/>
      <c r="K12" s="86"/>
      <c r="L12" s="86"/>
      <c r="M12" s="86"/>
      <c r="N12" s="86"/>
      <c r="O12" s="86"/>
      <c r="P12" s="86"/>
      <c r="Q12" s="86"/>
      <c r="R12" s="86"/>
      <c r="S12" s="54"/>
      <c r="T12" s="86"/>
      <c r="U12" s="86"/>
      <c r="V12" s="77"/>
      <c r="W12" s="65"/>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row>
    <row r="13" spans="1:103" ht="31.5" customHeight="1">
      <c r="A13" s="47"/>
      <c r="B13" s="64"/>
      <c r="C13" s="76"/>
      <c r="D13" s="52"/>
      <c r="E13" s="86"/>
      <c r="F13" s="86"/>
      <c r="G13" s="86"/>
      <c r="H13" s="86"/>
      <c r="I13" s="750" t="str">
        <f>'W1'!D16&amp;" (W1,9)"</f>
        <v>Flux sortant d’eaux de surface et d’eaux souterraines vers la mer (W1,9)</v>
      </c>
      <c r="J13" s="751"/>
      <c r="K13" s="86"/>
      <c r="L13" s="86"/>
      <c r="M13" s="86"/>
      <c r="N13" s="86"/>
      <c r="O13" s="86"/>
      <c r="P13" s="86"/>
      <c r="Q13" s="86"/>
      <c r="R13" s="86"/>
      <c r="S13" s="52"/>
      <c r="T13" s="52"/>
      <c r="U13" s="52"/>
      <c r="V13" s="77"/>
      <c r="W13" s="65"/>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row>
    <row r="14" spans="1:103" ht="9.75" customHeight="1">
      <c r="A14" s="47"/>
      <c r="B14" s="64"/>
      <c r="C14" s="76"/>
      <c r="D14" s="52"/>
      <c r="E14" s="86"/>
      <c r="F14" s="86"/>
      <c r="G14" s="86"/>
      <c r="H14" s="86"/>
      <c r="I14" s="86"/>
      <c r="J14" s="86"/>
      <c r="K14" s="86"/>
      <c r="L14" s="86"/>
      <c r="M14" s="86"/>
      <c r="N14" s="86"/>
      <c r="O14" s="86"/>
      <c r="P14" s="86"/>
      <c r="Q14" s="86"/>
      <c r="R14" s="86"/>
      <c r="S14" s="52"/>
      <c r="T14" s="52"/>
      <c r="U14" s="52"/>
      <c r="V14" s="77"/>
      <c r="W14" s="65"/>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row>
    <row r="15" spans="1:103" ht="12.75">
      <c r="A15" s="47"/>
      <c r="B15" s="64"/>
      <c r="C15" s="76"/>
      <c r="D15" s="768" t="str">
        <f>'W2'!D11</f>
        <v>Dont prélevés par :</v>
      </c>
      <c r="E15" s="769"/>
      <c r="F15" s="769"/>
      <c r="G15" s="769"/>
      <c r="H15" s="769"/>
      <c r="I15" s="769"/>
      <c r="J15" s="769"/>
      <c r="K15" s="770"/>
      <c r="L15" s="86"/>
      <c r="M15" s="86"/>
      <c r="N15" s="86"/>
      <c r="O15" s="86"/>
      <c r="P15" s="86"/>
      <c r="Q15" s="86"/>
      <c r="R15" s="86"/>
      <c r="S15" s="52"/>
      <c r="T15" s="52"/>
      <c r="U15" s="52"/>
      <c r="V15" s="77"/>
      <c r="W15" s="65"/>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row>
    <row r="16" spans="1:103" ht="32.25" customHeight="1">
      <c r="A16" s="47"/>
      <c r="B16" s="64"/>
      <c r="C16" s="76"/>
      <c r="D16" s="86"/>
      <c r="E16" s="86"/>
      <c r="F16" s="86"/>
      <c r="G16" s="86"/>
      <c r="H16" s="86"/>
      <c r="I16" s="86"/>
      <c r="J16" s="86"/>
      <c r="K16" s="86"/>
      <c r="L16" s="86"/>
      <c r="M16" s="86"/>
      <c r="N16" s="86"/>
      <c r="O16" s="86"/>
      <c r="P16" s="86"/>
      <c r="Q16" s="86"/>
      <c r="R16" s="86"/>
      <c r="S16" s="52"/>
      <c r="T16" s="52"/>
      <c r="U16" s="52"/>
      <c r="V16" s="77"/>
      <c r="W16" s="65"/>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row>
    <row r="17" spans="1:103" s="51" customFormat="1" ht="86.25" customHeight="1">
      <c r="A17" s="47"/>
      <c r="B17" s="64"/>
      <c r="C17" s="76"/>
      <c r="D17" s="90" t="str">
        <f>LEFT('W2'!D12,LEN('W2'!D12)-8)&amp;"W2,4)"</f>
        <v>Services d’alimentation en eau (division 36 de W2,4)</v>
      </c>
      <c r="E17" s="90" t="str">
        <f>LEFT('W2'!D13,LEN('W2'!D13))&amp;"(W2,5)"</f>
        <v>Ménages(W2,5)</v>
      </c>
      <c r="F17" s="90" t="str">
        <f>LEFT('W2'!D14,LEN('W2'!D14))&amp;" (W2,6)"</f>
        <v>Agriculture, sylviculture et pêche (divisions 1 à 3 de la CITI) (W2,6)</v>
      </c>
      <c r="G17" s="90" t="str">
        <f>LEFT('W2'!D16,LEN('W2'!D16))&amp;" (W2, 8)"</f>
        <v>Activités extractives (divisions 5 à 9 de la CITI) (W2, 8)</v>
      </c>
      <c r="H17" s="90" t="str">
        <f>LEFT('W2'!D17,LEN('W2'!D17))&amp;" (W2, 9)"</f>
        <v>Activités de fabrication (divisions 10 à 33 de la CITI) (W2, 9)</v>
      </c>
      <c r="I17" s="90" t="str">
        <f>LEFT('W2'!D18,LEN('W2'!D18))&amp;" (W2,10)"</f>
        <v>Production et distribution d’électricité, de gaz, de vapeur et climatisation (division 35 de la CITI) (W2,10)</v>
      </c>
      <c r="J17" s="90" t="str">
        <f>LEFT('W2'!D20,LEN('W2'!D20))&amp;" (W2,12)"</f>
        <v>Construction (divisions 41 à 43 de la CITI) (W2,12)</v>
      </c>
      <c r="K17" s="90" t="str">
        <f>LEFT('W2'!D21,LEN('W2'!D21))&amp;" (W2,13)"</f>
        <v>Autres activités économiques (W2,13)</v>
      </c>
      <c r="L17" s="52"/>
      <c r="M17" s="52"/>
      <c r="N17" s="52"/>
      <c r="O17" s="52"/>
      <c r="P17" s="52"/>
      <c r="Q17" s="41"/>
      <c r="R17" s="52"/>
      <c r="S17" s="52"/>
      <c r="T17" s="52"/>
      <c r="U17" s="52"/>
      <c r="V17" s="77"/>
      <c r="W17" s="65"/>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row>
    <row r="18" spans="1:103" s="50" customFormat="1" ht="21.75" customHeight="1">
      <c r="A18" s="47"/>
      <c r="B18" s="64"/>
      <c r="C18" s="76"/>
      <c r="D18" s="52"/>
      <c r="E18" s="89"/>
      <c r="F18" s="89"/>
      <c r="G18" s="89"/>
      <c r="H18" s="89"/>
      <c r="I18" s="660"/>
      <c r="J18" s="89"/>
      <c r="K18" s="89"/>
      <c r="L18" s="89"/>
      <c r="M18" s="89"/>
      <c r="N18" s="89"/>
      <c r="O18" s="89"/>
      <c r="P18" s="89"/>
      <c r="Q18" s="89"/>
      <c r="R18" s="89"/>
      <c r="S18" s="52"/>
      <c r="T18" s="52"/>
      <c r="U18" s="52"/>
      <c r="V18" s="77"/>
      <c r="W18" s="65"/>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row>
    <row r="19" spans="1:103" ht="49.5" customHeight="1">
      <c r="A19" s="47"/>
      <c r="B19" s="64"/>
      <c r="C19" s="76"/>
      <c r="D19" s="771" t="str">
        <f>LEFT('W2'!D10,LEN('W2'!D10)-7)&amp;" (W2,3)"</f>
        <v>Volume d’eau douce prélevé (W2,3)</v>
      </c>
      <c r="E19" s="772"/>
      <c r="F19" s="772"/>
      <c r="G19" s="772"/>
      <c r="H19" s="772"/>
      <c r="I19" s="772"/>
      <c r="J19" s="772"/>
      <c r="K19" s="773"/>
      <c r="L19" s="86"/>
      <c r="M19" s="86"/>
      <c r="N19" s="86"/>
      <c r="O19" s="41"/>
      <c r="P19" s="86"/>
      <c r="Q19" s="86"/>
      <c r="R19" s="86"/>
      <c r="S19" s="52"/>
      <c r="T19" s="52"/>
      <c r="U19" s="90" t="str">
        <f>'W2'!D30&amp;" (W2,21)"</f>
        <v>Ménages (W2,21)</v>
      </c>
      <c r="V19" s="78"/>
      <c r="W19" s="65"/>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row>
    <row r="20" spans="1:103" ht="8.25" customHeight="1">
      <c r="A20" s="47"/>
      <c r="B20" s="64"/>
      <c r="C20" s="76"/>
      <c r="D20" s="41"/>
      <c r="E20" s="41"/>
      <c r="F20" s="41"/>
      <c r="G20" s="41"/>
      <c r="H20" s="41"/>
      <c r="I20" s="41"/>
      <c r="J20" s="41"/>
      <c r="K20" s="41"/>
      <c r="L20" s="86"/>
      <c r="M20" s="86"/>
      <c r="N20" s="86"/>
      <c r="O20" s="41"/>
      <c r="P20" s="86"/>
      <c r="Q20" s="86"/>
      <c r="R20" s="86"/>
      <c r="S20" s="86"/>
      <c r="T20" s="86"/>
      <c r="U20" s="113"/>
      <c r="V20" s="78"/>
      <c r="W20" s="65"/>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row>
    <row r="21" spans="1:103" ht="45" customHeight="1">
      <c r="A21" s="47"/>
      <c r="B21" s="64"/>
      <c r="C21" s="76"/>
      <c r="D21" s="41"/>
      <c r="E21" s="41"/>
      <c r="F21" s="41"/>
      <c r="G21" s="41"/>
      <c r="H21" s="41"/>
      <c r="I21" s="41"/>
      <c r="J21" s="766" t="str">
        <f>'W2'!D22&amp;" (W2,14)"</f>
        <v>Eau dessalée (W2,14)</v>
      </c>
      <c r="K21" s="767"/>
      <c r="M21" s="86"/>
      <c r="N21" s="86"/>
      <c r="O21" s="41"/>
      <c r="P21" s="86"/>
      <c r="Q21" s="86"/>
      <c r="R21" s="86"/>
      <c r="S21" s="86"/>
      <c r="T21" s="86"/>
      <c r="U21" s="90" t="str">
        <f>'W2'!D31&amp;" (W2,22)"</f>
        <v>Agriculture, sylviculture et pêche (divisions 1 à 3 de la CITI) (W2,22)</v>
      </c>
      <c r="V21" s="78"/>
      <c r="W21" s="65"/>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row>
    <row r="22" spans="1:103" ht="8.25" customHeight="1">
      <c r="A22" s="47"/>
      <c r="B22" s="64"/>
      <c r="C22" s="76"/>
      <c r="D22" s="52"/>
      <c r="E22" s="86"/>
      <c r="F22" s="86"/>
      <c r="G22" s="86"/>
      <c r="H22" s="86"/>
      <c r="I22" s="86"/>
      <c r="J22" s="86"/>
      <c r="K22" s="86"/>
      <c r="L22" s="86"/>
      <c r="M22" s="86"/>
      <c r="N22" s="86"/>
      <c r="O22" s="756" t="str">
        <f>LEFT('W2'!D26,LEN('W2'!D26)-17)&amp;" (W2,18)"</f>
        <v>Quantité totale d’eau douce disponible et utilisable (W2,18)</v>
      </c>
      <c r="P22" s="86"/>
      <c r="Q22" s="756" t="str">
        <f>LEFT('W2'!D28,LEN('W2'!D28)-9)&amp;" (W2,20)"</f>
        <v>Quantité totale d’eau douce utilisée (W2,20)</v>
      </c>
      <c r="R22" s="86"/>
      <c r="S22" s="86"/>
      <c r="T22" s="86"/>
      <c r="U22" s="86"/>
      <c r="V22" s="77"/>
      <c r="W22" s="65"/>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row>
    <row r="23" spans="1:103" ht="46.5" customHeight="1">
      <c r="A23" s="47"/>
      <c r="B23" s="64"/>
      <c r="C23" s="76"/>
      <c r="D23" s="52"/>
      <c r="E23" s="86"/>
      <c r="F23" s="86"/>
      <c r="G23" s="86"/>
      <c r="H23" s="86"/>
      <c r="I23" s="86"/>
      <c r="J23" s="766" t="str">
        <f>'W2'!D23&amp;" (W2,15)"</f>
        <v>Eau réutilisée (W2,15)</v>
      </c>
      <c r="K23" s="767"/>
      <c r="L23" s="86"/>
      <c r="M23" s="41"/>
      <c r="N23" s="86"/>
      <c r="O23" s="757"/>
      <c r="P23" s="86"/>
      <c r="Q23" s="757"/>
      <c r="R23" s="754" t="str">
        <f>'W2'!D29</f>
        <v>Dont utilisés par :</v>
      </c>
      <c r="S23" s="755"/>
      <c r="T23" s="114"/>
      <c r="U23" s="90" t="str">
        <f>'W2'!D33&amp;" (W2,24)"</f>
        <v>Activités extractives (divisions 5 à 9 de la CITI) (W2,24)</v>
      </c>
      <c r="V23" s="77"/>
      <c r="W23" s="65"/>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row>
    <row r="24" spans="1:103" ht="8.25" customHeight="1">
      <c r="A24" s="47"/>
      <c r="B24" s="64"/>
      <c r="C24" s="76"/>
      <c r="D24" s="86"/>
      <c r="E24" s="86"/>
      <c r="F24" s="86"/>
      <c r="G24" s="86"/>
      <c r="H24" s="86"/>
      <c r="I24" s="86"/>
      <c r="J24" s="86"/>
      <c r="K24" s="86"/>
      <c r="L24" s="86"/>
      <c r="M24" s="86"/>
      <c r="N24" s="86"/>
      <c r="O24" s="86"/>
      <c r="P24" s="86"/>
      <c r="Q24" s="86"/>
      <c r="R24" s="86"/>
      <c r="S24" s="86"/>
      <c r="T24" s="86"/>
      <c r="U24" s="86"/>
      <c r="V24" s="77"/>
      <c r="W24" s="65"/>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row>
    <row r="25" spans="1:103" ht="43.5" customHeight="1">
      <c r="A25" s="47"/>
      <c r="B25" s="64"/>
      <c r="C25" s="76"/>
      <c r="G25" s="115"/>
      <c r="H25" s="115"/>
      <c r="I25" s="115"/>
      <c r="J25" s="766" t="str">
        <f>'W2'!D24&amp;" - "&amp;'W2'!D25&amp;" (= W2,16 - W2,17)"</f>
        <v>Importations d’eau - Exportations d’eau (= W2,16 - W2,17)</v>
      </c>
      <c r="K25" s="767"/>
      <c r="L25" s="86"/>
      <c r="M25" s="86"/>
      <c r="N25" s="86"/>
      <c r="O25" s="41"/>
      <c r="P25" s="86"/>
      <c r="Q25" s="86"/>
      <c r="R25" s="86"/>
      <c r="S25" s="86"/>
      <c r="T25" s="86"/>
      <c r="U25" s="90" t="str">
        <f>'W2'!D34&amp;" (W2,25)"</f>
        <v>Activités de fabrication  (divisions 10 à 33 de la CITI) (W2,25)</v>
      </c>
      <c r="V25" s="77"/>
      <c r="W25" s="65"/>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row>
    <row r="26" spans="1:103" ht="8.25" customHeight="1">
      <c r="A26" s="47"/>
      <c r="B26" s="64"/>
      <c r="C26" s="76"/>
      <c r="D26" s="91"/>
      <c r="G26" s="91"/>
      <c r="H26" s="91"/>
      <c r="I26" s="91"/>
      <c r="J26" s="86"/>
      <c r="K26" s="86"/>
      <c r="L26" s="86"/>
      <c r="M26" s="86"/>
      <c r="N26" s="86"/>
      <c r="O26" s="86"/>
      <c r="P26" s="752" t="str">
        <f>'W2'!D27&amp;" (W2,19)"</f>
        <v>Pertes au cours du transport (W2,19)</v>
      </c>
      <c r="Q26" s="86"/>
      <c r="R26" s="86"/>
      <c r="S26" s="86"/>
      <c r="T26" s="86"/>
      <c r="U26" s="86"/>
      <c r="V26" s="77"/>
      <c r="W26" s="65"/>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row>
    <row r="27" spans="1:103" ht="57.75" customHeight="1">
      <c r="A27" s="47"/>
      <c r="B27" s="64"/>
      <c r="C27" s="76"/>
      <c r="D27" s="86"/>
      <c r="E27" s="86"/>
      <c r="F27" s="86"/>
      <c r="G27" s="86"/>
      <c r="H27" s="86"/>
      <c r="I27" s="86"/>
      <c r="J27" s="86"/>
      <c r="K27" s="86"/>
      <c r="L27" s="86"/>
      <c r="M27" s="86"/>
      <c r="N27" s="86"/>
      <c r="O27" s="41"/>
      <c r="P27" s="753"/>
      <c r="R27" s="41"/>
      <c r="S27" s="86"/>
      <c r="T27" s="86"/>
      <c r="U27" s="90" t="str">
        <f>'W2'!D35&amp;" (W2,26)"</f>
        <v>Production et distribution d’électricité, de gaz, de vapeur et climatisation (division 35 de la CITI) (W2,26)</v>
      </c>
      <c r="V27" s="77"/>
      <c r="W27" s="65"/>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row>
    <row r="28" spans="1:103" ht="8.25" customHeight="1">
      <c r="A28" s="47"/>
      <c r="B28" s="64"/>
      <c r="C28" s="76"/>
      <c r="D28" s="86"/>
      <c r="E28" s="86"/>
      <c r="F28" s="86"/>
      <c r="G28" s="86"/>
      <c r="H28" s="86"/>
      <c r="I28" s="86"/>
      <c r="J28" s="86"/>
      <c r="K28" s="86"/>
      <c r="L28" s="86"/>
      <c r="M28" s="86"/>
      <c r="N28" s="86"/>
      <c r="O28" s="86"/>
      <c r="P28" s="86"/>
      <c r="Q28" s="86"/>
      <c r="R28" s="86"/>
      <c r="S28" s="86"/>
      <c r="T28" s="86"/>
      <c r="U28" s="86"/>
      <c r="V28" s="77"/>
      <c r="W28" s="65"/>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row>
    <row r="29" spans="1:103" ht="45" customHeight="1">
      <c r="A29" s="47"/>
      <c r="B29" s="64"/>
      <c r="C29" s="76"/>
      <c r="D29" s="86"/>
      <c r="E29" s="86"/>
      <c r="F29" s="86"/>
      <c r="G29" s="86"/>
      <c r="H29" s="86"/>
      <c r="I29" s="86"/>
      <c r="J29" s="86"/>
      <c r="K29" s="86"/>
      <c r="L29" s="86"/>
      <c r="M29" s="86"/>
      <c r="N29" s="86"/>
      <c r="O29" s="86"/>
      <c r="P29" s="86"/>
      <c r="Q29" s="86"/>
      <c r="R29" s="86"/>
      <c r="S29" s="86"/>
      <c r="T29" s="86"/>
      <c r="U29" s="90" t="str">
        <f>'W2'!D37&amp;" (W2,28)"</f>
        <v>Construction (divisions 41 à 43 de la CITI) (W2,28)</v>
      </c>
      <c r="V29" s="77"/>
      <c r="W29" s="65"/>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row>
    <row r="30" spans="1:103" ht="8.25" customHeight="1">
      <c r="A30" s="47"/>
      <c r="B30" s="64"/>
      <c r="C30" s="76"/>
      <c r="D30" s="86"/>
      <c r="E30" s="86"/>
      <c r="F30" s="86"/>
      <c r="G30" s="86"/>
      <c r="H30" s="86"/>
      <c r="I30" s="86"/>
      <c r="J30" s="86"/>
      <c r="K30" s="86"/>
      <c r="L30" s="86"/>
      <c r="M30" s="86"/>
      <c r="N30" s="86"/>
      <c r="O30" s="86"/>
      <c r="P30" s="86"/>
      <c r="Q30" s="86"/>
      <c r="R30" s="86"/>
      <c r="S30" s="86"/>
      <c r="T30" s="86"/>
      <c r="U30" s="86"/>
      <c r="V30" s="77"/>
      <c r="W30" s="65"/>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row>
    <row r="31" spans="1:103" ht="45" customHeight="1">
      <c r="A31" s="47"/>
      <c r="B31" s="64"/>
      <c r="C31" s="76"/>
      <c r="D31" s="45"/>
      <c r="E31" s="45"/>
      <c r="F31" s="45"/>
      <c r="G31" s="45"/>
      <c r="H31" s="45"/>
      <c r="I31" s="45"/>
      <c r="J31" s="45"/>
      <c r="K31" s="45"/>
      <c r="L31" s="45"/>
      <c r="M31" s="45"/>
      <c r="N31" s="45"/>
      <c r="O31" s="45"/>
      <c r="P31" s="45"/>
      <c r="Q31" s="45"/>
      <c r="R31" s="45"/>
      <c r="S31" s="45"/>
      <c r="T31" s="45"/>
      <c r="U31" s="90" t="str">
        <f>'W2'!D38&amp;" (W2,29)"</f>
        <v>Autres activités économiques  (W2,29)</v>
      </c>
      <c r="V31" s="77"/>
      <c r="W31" s="65"/>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row>
    <row r="32" spans="1:103" ht="3.75" customHeight="1">
      <c r="A32" s="47"/>
      <c r="B32" s="64"/>
      <c r="C32" s="79"/>
      <c r="D32" s="80"/>
      <c r="E32" s="80"/>
      <c r="F32" s="80"/>
      <c r="G32" s="80"/>
      <c r="H32" s="80"/>
      <c r="I32" s="80"/>
      <c r="J32" s="80"/>
      <c r="K32" s="80"/>
      <c r="L32" s="80"/>
      <c r="M32" s="80"/>
      <c r="N32" s="80"/>
      <c r="O32" s="80"/>
      <c r="P32" s="80"/>
      <c r="Q32" s="80"/>
      <c r="R32" s="80"/>
      <c r="S32" s="80"/>
      <c r="T32" s="80"/>
      <c r="U32" s="80"/>
      <c r="V32" s="81"/>
      <c r="W32" s="65"/>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row>
    <row r="33" spans="1:103" ht="13.5" customHeight="1" thickBot="1">
      <c r="A33" s="47"/>
      <c r="B33" s="66"/>
      <c r="C33" s="70"/>
      <c r="D33" s="67"/>
      <c r="E33" s="67"/>
      <c r="F33" s="67"/>
      <c r="G33" s="67"/>
      <c r="H33" s="67"/>
      <c r="I33" s="67"/>
      <c r="J33" s="67"/>
      <c r="K33" s="67"/>
      <c r="L33" s="67"/>
      <c r="M33" s="67"/>
      <c r="N33" s="67"/>
      <c r="O33" s="67"/>
      <c r="P33" s="67"/>
      <c r="Q33" s="67"/>
      <c r="R33" s="67"/>
      <c r="S33" s="67"/>
      <c r="T33" s="67"/>
      <c r="U33" s="67"/>
      <c r="V33" s="67"/>
      <c r="W33" s="68"/>
      <c r="X33" s="45"/>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row>
    <row r="34" spans="1:124" ht="12.75">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row>
    <row r="35" spans="1:124" ht="6" customHeight="1">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row>
    <row r="36" spans="1:124" ht="12.75">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row>
    <row r="37" spans="1:124" ht="4.5" customHeight="1">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row>
    <row r="38" spans="1:124" ht="12.75">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row>
    <row r="39" spans="1:124" ht="5.25" customHeight="1">
      <c r="A39" s="47"/>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row>
    <row r="40" spans="1:124" ht="12.75">
      <c r="A40" s="47"/>
      <c r="B40" s="47"/>
      <c r="C40" s="47"/>
      <c r="D40" s="45"/>
      <c r="E40" s="45"/>
      <c r="F40" s="45"/>
      <c r="G40" s="45"/>
      <c r="H40" s="45"/>
      <c r="I40" s="45"/>
      <c r="J40" s="45"/>
      <c r="K40" s="45"/>
      <c r="L40" s="45"/>
      <c r="M40" s="45"/>
      <c r="N40" s="45"/>
      <c r="O40" s="45"/>
      <c r="P40" s="45"/>
      <c r="Q40" s="45"/>
      <c r="R40" s="45"/>
      <c r="S40" s="47"/>
      <c r="T40" s="47"/>
      <c r="U40" s="47"/>
      <c r="V40" s="47"/>
      <c r="W40" s="47"/>
      <c r="X40" s="45"/>
      <c r="Y40" s="45"/>
      <c r="Z40" s="45"/>
      <c r="AA40" s="45"/>
      <c r="AB40" s="45"/>
      <c r="AC40" s="45"/>
      <c r="AD40" s="45"/>
      <c r="AE40" s="45"/>
      <c r="AF40" s="45"/>
      <c r="AG40" s="45"/>
      <c r="AH40" s="45"/>
      <c r="AI40" s="45"/>
      <c r="AJ40" s="45"/>
      <c r="AK40" s="45"/>
      <c r="AL40" s="45"/>
      <c r="AM40" s="45"/>
      <c r="AN40" s="45"/>
      <c r="AO40" s="45"/>
      <c r="AP40" s="45"/>
      <c r="AQ40" s="45"/>
      <c r="AR40" s="45"/>
      <c r="AS40" s="45"/>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row>
    <row r="41" spans="1:124" ht="12.75">
      <c r="A41" s="47"/>
      <c r="B41" s="47"/>
      <c r="C41" s="47"/>
      <c r="D41" s="45"/>
      <c r="E41" s="45"/>
      <c r="F41" s="45"/>
      <c r="G41" s="45"/>
      <c r="H41" s="45"/>
      <c r="I41" s="45"/>
      <c r="J41" s="45"/>
      <c r="K41" s="45"/>
      <c r="L41" s="45"/>
      <c r="M41" s="45"/>
      <c r="N41" s="45"/>
      <c r="O41" s="45"/>
      <c r="P41" s="45"/>
      <c r="Q41" s="45"/>
      <c r="R41" s="45"/>
      <c r="S41" s="47"/>
      <c r="T41" s="47"/>
      <c r="U41" s="47"/>
      <c r="V41" s="47"/>
      <c r="W41" s="47"/>
      <c r="X41" s="45"/>
      <c r="Y41" s="45"/>
      <c r="Z41" s="45"/>
      <c r="AA41" s="45"/>
      <c r="AB41" s="45"/>
      <c r="AC41" s="45"/>
      <c r="AD41" s="45"/>
      <c r="AE41" s="45"/>
      <c r="AF41" s="45"/>
      <c r="AG41" s="45"/>
      <c r="AH41" s="45"/>
      <c r="AI41" s="45"/>
      <c r="AJ41" s="45"/>
      <c r="AK41" s="45"/>
      <c r="AL41" s="45"/>
      <c r="AM41" s="45"/>
      <c r="AN41" s="45"/>
      <c r="AO41" s="45"/>
      <c r="AP41" s="45"/>
      <c r="AQ41" s="45"/>
      <c r="AR41" s="45"/>
      <c r="AS41" s="45"/>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row>
    <row r="42" spans="1:124" ht="12.75">
      <c r="A42" s="47"/>
      <c r="B42" s="47"/>
      <c r="C42" s="47"/>
      <c r="D42" s="45"/>
      <c r="E42" s="45"/>
      <c r="F42" s="45"/>
      <c r="G42" s="45"/>
      <c r="H42" s="45"/>
      <c r="I42" s="45"/>
      <c r="J42" s="45"/>
      <c r="K42" s="45"/>
      <c r="L42" s="45"/>
      <c r="M42" s="45"/>
      <c r="N42" s="45"/>
      <c r="O42" s="45"/>
      <c r="P42" s="45"/>
      <c r="Q42" s="45"/>
      <c r="R42" s="45"/>
      <c r="S42" s="47"/>
      <c r="T42" s="47"/>
      <c r="U42" s="47"/>
      <c r="V42" s="47"/>
      <c r="W42" s="47"/>
      <c r="X42" s="45"/>
      <c r="Y42" s="45"/>
      <c r="Z42" s="45"/>
      <c r="AA42" s="45"/>
      <c r="AB42" s="45"/>
      <c r="AC42" s="45"/>
      <c r="AD42" s="45"/>
      <c r="AE42" s="45"/>
      <c r="AF42" s="45"/>
      <c r="AG42" s="45"/>
      <c r="AH42" s="45"/>
      <c r="AI42" s="45"/>
      <c r="AJ42" s="45"/>
      <c r="AK42" s="45"/>
      <c r="AL42" s="45"/>
      <c r="AM42" s="45"/>
      <c r="AN42" s="45"/>
      <c r="AO42" s="45"/>
      <c r="AP42" s="45"/>
      <c r="AQ42" s="45"/>
      <c r="AR42" s="45"/>
      <c r="AS42" s="45"/>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row>
    <row r="43" spans="1:124" ht="12.75">
      <c r="A43" s="47"/>
      <c r="B43" s="47"/>
      <c r="C43" s="47"/>
      <c r="D43" s="47"/>
      <c r="E43" s="47"/>
      <c r="F43" s="47"/>
      <c r="G43" s="47"/>
      <c r="H43" s="47"/>
      <c r="I43" s="47"/>
      <c r="J43" s="47"/>
      <c r="K43" s="47"/>
      <c r="L43" s="47"/>
      <c r="M43" s="47"/>
      <c r="N43" s="47"/>
      <c r="O43" s="47"/>
      <c r="P43" s="47"/>
      <c r="Q43" s="47"/>
      <c r="R43" s="47"/>
      <c r="S43" s="47"/>
      <c r="T43" s="47"/>
      <c r="U43" s="47"/>
      <c r="V43" s="47"/>
      <c r="W43" s="47"/>
      <c r="X43" s="45"/>
      <c r="Y43" s="45"/>
      <c r="Z43" s="45"/>
      <c r="AA43" s="45"/>
      <c r="AB43" s="45"/>
      <c r="AC43" s="45"/>
      <c r="AD43" s="45"/>
      <c r="AE43" s="45"/>
      <c r="AF43" s="45"/>
      <c r="AG43" s="45"/>
      <c r="AH43" s="45"/>
      <c r="AI43" s="45"/>
      <c r="AJ43" s="45"/>
      <c r="AK43" s="45"/>
      <c r="AL43" s="45"/>
      <c r="AM43" s="45"/>
      <c r="AN43" s="45"/>
      <c r="AO43" s="45"/>
      <c r="AP43" s="45"/>
      <c r="AQ43" s="45"/>
      <c r="AR43" s="45"/>
      <c r="AS43" s="45"/>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row>
    <row r="44" spans="1:124" ht="12.75">
      <c r="A44" s="47"/>
      <c r="B44" s="47"/>
      <c r="C44" s="47"/>
      <c r="D44" s="47"/>
      <c r="E44" s="47"/>
      <c r="F44" s="47"/>
      <c r="G44" s="47"/>
      <c r="H44" s="47"/>
      <c r="I44" s="47"/>
      <c r="J44" s="47"/>
      <c r="K44" s="47"/>
      <c r="L44" s="47"/>
      <c r="M44" s="47"/>
      <c r="N44" s="47"/>
      <c r="O44" s="47"/>
      <c r="P44" s="47"/>
      <c r="Q44" s="47"/>
      <c r="R44" s="47"/>
      <c r="S44" s="47"/>
      <c r="T44" s="47"/>
      <c r="U44" s="47"/>
      <c r="V44" s="47"/>
      <c r="W44" s="47"/>
      <c r="X44" s="45"/>
      <c r="Y44" s="45"/>
      <c r="Z44" s="45"/>
      <c r="AA44" s="45"/>
      <c r="AB44" s="45"/>
      <c r="AC44" s="45"/>
      <c r="AD44" s="45"/>
      <c r="AE44" s="45"/>
      <c r="AF44" s="45"/>
      <c r="AG44" s="45"/>
      <c r="AH44" s="45"/>
      <c r="AI44" s="45"/>
      <c r="AJ44" s="45"/>
      <c r="AK44" s="45"/>
      <c r="AL44" s="45"/>
      <c r="AM44" s="45"/>
      <c r="AN44" s="45"/>
      <c r="AO44" s="45"/>
      <c r="AP44" s="45"/>
      <c r="AQ44" s="45"/>
      <c r="AR44" s="45"/>
      <c r="AS44" s="45"/>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row>
    <row r="45" spans="1:124" ht="12.75">
      <c r="A45" s="47"/>
      <c r="B45" s="47"/>
      <c r="C45" s="47"/>
      <c r="D45" s="47"/>
      <c r="E45" s="47"/>
      <c r="F45" s="47"/>
      <c r="G45" s="47"/>
      <c r="H45" s="47"/>
      <c r="I45" s="47"/>
      <c r="J45" s="47"/>
      <c r="K45" s="47"/>
      <c r="L45" s="47"/>
      <c r="M45" s="47"/>
      <c r="N45" s="47"/>
      <c r="O45" s="47"/>
      <c r="P45" s="47"/>
      <c r="Q45" s="47"/>
      <c r="R45" s="47"/>
      <c r="S45" s="47"/>
      <c r="T45" s="47"/>
      <c r="U45" s="47"/>
      <c r="V45" s="47"/>
      <c r="W45" s="47"/>
      <c r="X45" s="45"/>
      <c r="Y45" s="45"/>
      <c r="Z45" s="45"/>
      <c r="AA45" s="45"/>
      <c r="AB45" s="45"/>
      <c r="AC45" s="45"/>
      <c r="AD45" s="45"/>
      <c r="AE45" s="45"/>
      <c r="AF45" s="45"/>
      <c r="AG45" s="45"/>
      <c r="AH45" s="45"/>
      <c r="AI45" s="45"/>
      <c r="AJ45" s="45"/>
      <c r="AK45" s="45"/>
      <c r="AL45" s="45"/>
      <c r="AM45" s="45"/>
      <c r="AN45" s="45"/>
      <c r="AO45" s="45"/>
      <c r="AP45" s="45"/>
      <c r="AQ45" s="45"/>
      <c r="AR45" s="45"/>
      <c r="AS45" s="45"/>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row>
    <row r="46" spans="1:124" ht="12.75">
      <c r="A46" s="47"/>
      <c r="B46" s="47"/>
      <c r="C46" s="47"/>
      <c r="D46" s="47"/>
      <c r="E46" s="47"/>
      <c r="F46" s="47"/>
      <c r="G46" s="47"/>
      <c r="H46" s="47"/>
      <c r="I46" s="47"/>
      <c r="J46" s="47"/>
      <c r="K46" s="47"/>
      <c r="L46" s="47"/>
      <c r="M46" s="47"/>
      <c r="N46" s="47"/>
      <c r="O46" s="47"/>
      <c r="P46" s="47"/>
      <c r="Q46" s="47"/>
      <c r="R46" s="47"/>
      <c r="S46" s="47"/>
      <c r="T46" s="47"/>
      <c r="U46" s="47"/>
      <c r="V46" s="47"/>
      <c r="W46" s="47"/>
      <c r="X46" s="45"/>
      <c r="Y46" s="45"/>
      <c r="Z46" s="45"/>
      <c r="AA46" s="45"/>
      <c r="AB46" s="45"/>
      <c r="AC46" s="45"/>
      <c r="AD46" s="45"/>
      <c r="AE46" s="45"/>
      <c r="AF46" s="45"/>
      <c r="AG46" s="45"/>
      <c r="AH46" s="45"/>
      <c r="AI46" s="45"/>
      <c r="AJ46" s="45"/>
      <c r="AK46" s="45"/>
      <c r="AL46" s="45"/>
      <c r="AM46" s="45"/>
      <c r="AN46" s="45"/>
      <c r="AO46" s="45"/>
      <c r="AP46" s="45"/>
      <c r="AQ46" s="45"/>
      <c r="AR46" s="45"/>
      <c r="AS46" s="45"/>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row>
    <row r="47" spans="1:124" ht="12.75">
      <c r="A47" s="47"/>
      <c r="B47" s="47"/>
      <c r="C47" s="47"/>
      <c r="D47" s="47"/>
      <c r="E47" s="47"/>
      <c r="F47" s="47"/>
      <c r="G47" s="47"/>
      <c r="H47" s="47"/>
      <c r="I47" s="47"/>
      <c r="J47" s="47"/>
      <c r="K47" s="47"/>
      <c r="L47" s="47"/>
      <c r="M47" s="47"/>
      <c r="N47" s="47"/>
      <c r="O47" s="47"/>
      <c r="P47" s="47"/>
      <c r="Q47" s="47"/>
      <c r="R47" s="47"/>
      <c r="S47" s="47"/>
      <c r="T47" s="47"/>
      <c r="U47" s="47"/>
      <c r="V47" s="47"/>
      <c r="W47" s="47"/>
      <c r="X47" s="45"/>
      <c r="Y47" s="45"/>
      <c r="Z47" s="45"/>
      <c r="AA47" s="45"/>
      <c r="AB47" s="45"/>
      <c r="AC47" s="45"/>
      <c r="AD47" s="45"/>
      <c r="AE47" s="45"/>
      <c r="AF47" s="45"/>
      <c r="AG47" s="45"/>
      <c r="AH47" s="45"/>
      <c r="AI47" s="45"/>
      <c r="AJ47" s="45"/>
      <c r="AK47" s="45"/>
      <c r="AL47" s="45"/>
      <c r="AM47" s="45"/>
      <c r="AN47" s="45"/>
      <c r="AO47" s="45"/>
      <c r="AP47" s="45"/>
      <c r="AQ47" s="45"/>
      <c r="AR47" s="45"/>
      <c r="AS47" s="45"/>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row>
    <row r="48" spans="1:124"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5"/>
      <c r="Z48" s="45"/>
      <c r="AA48" s="45"/>
      <c r="AB48" s="45"/>
      <c r="AC48" s="45"/>
      <c r="AD48" s="45"/>
      <c r="AE48" s="45"/>
      <c r="AF48" s="45"/>
      <c r="AG48" s="45"/>
      <c r="AH48" s="45"/>
      <c r="AI48" s="45"/>
      <c r="AJ48" s="45"/>
      <c r="AK48" s="45"/>
      <c r="AL48" s="45"/>
      <c r="AM48" s="45"/>
      <c r="AN48" s="45"/>
      <c r="AO48" s="45"/>
      <c r="AP48" s="45"/>
      <c r="AQ48" s="45"/>
      <c r="AR48" s="45"/>
      <c r="AS48" s="45"/>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row>
    <row r="49" spans="1:124"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row>
    <row r="50" spans="1:124"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row>
    <row r="51" spans="1:124"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row>
    <row r="52" spans="1:124"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row>
    <row r="53" spans="1:124"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row>
    <row r="54" spans="1:124"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row>
    <row r="55" spans="1:124"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row>
    <row r="56" spans="1:124"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row>
    <row r="57" spans="1:124"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row>
    <row r="58" spans="1:124"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row>
    <row r="59" spans="1:124"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row>
    <row r="60" spans="1:124"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row>
    <row r="61" spans="1:124"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row>
    <row r="62" spans="1:124"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row>
    <row r="63" spans="1:124"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row>
    <row r="64" spans="1:124"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row>
    <row r="65" spans="1:124"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row>
    <row r="66" spans="1:124" ht="12.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row>
    <row r="67" spans="1:45" ht="12.75">
      <c r="A67" s="47"/>
      <c r="B67" s="47"/>
      <c r="C67" s="47"/>
      <c r="D67" s="47"/>
      <c r="E67" s="47"/>
      <c r="F67" s="47"/>
      <c r="G67" s="47"/>
      <c r="H67" s="47"/>
      <c r="I67" s="47"/>
      <c r="J67" s="47"/>
      <c r="K67" s="47"/>
      <c r="L67" s="47"/>
      <c r="M67" s="47"/>
      <c r="N67" s="47"/>
      <c r="O67" s="47"/>
      <c r="P67" s="47"/>
      <c r="Q67" s="47"/>
      <c r="R67" s="47"/>
      <c r="S67" s="47"/>
      <c r="T67" s="47"/>
      <c r="U67" s="47"/>
      <c r="V67" s="47"/>
      <c r="W67" s="47"/>
      <c r="Y67" s="47"/>
      <c r="Z67" s="47"/>
      <c r="AA67" s="47"/>
      <c r="AB67" s="47"/>
      <c r="AC67" s="47"/>
      <c r="AD67" s="47"/>
      <c r="AE67" s="47"/>
      <c r="AF67" s="47"/>
      <c r="AG67" s="47"/>
      <c r="AH67" s="47"/>
      <c r="AI67" s="47"/>
      <c r="AJ67" s="47"/>
      <c r="AK67" s="47"/>
      <c r="AL67" s="47"/>
      <c r="AM67" s="47"/>
      <c r="AN67" s="47"/>
      <c r="AO67" s="47"/>
      <c r="AP67" s="47"/>
      <c r="AQ67" s="47"/>
      <c r="AR67" s="47"/>
      <c r="AS67" s="47"/>
    </row>
  </sheetData>
  <sheetProtection sheet="1"/>
  <mergeCells count="16">
    <mergeCell ref="D2:W2"/>
    <mergeCell ref="D3:W3"/>
    <mergeCell ref="F10:G10"/>
    <mergeCell ref="Q10:Q11"/>
    <mergeCell ref="J23:K23"/>
    <mergeCell ref="J25:K25"/>
    <mergeCell ref="J21:K21"/>
    <mergeCell ref="D15:K15"/>
    <mergeCell ref="D19:K19"/>
    <mergeCell ref="I11:J11"/>
    <mergeCell ref="I13:J13"/>
    <mergeCell ref="P26:P27"/>
    <mergeCell ref="R23:S23"/>
    <mergeCell ref="O22:O23"/>
    <mergeCell ref="Q22:Q23"/>
    <mergeCell ref="R10:S11"/>
  </mergeCells>
  <printOptions horizontalCentered="1"/>
  <pageMargins left="0.25" right="0.25" top="0.65" bottom="0.984251969" header="0.43" footer="0.5"/>
  <pageSetup fitToHeight="1" fitToWidth="1" horizontalDpi="600" verticalDpi="600" orientation="landscape" paperSize="9" scale="51" r:id="rId2"/>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L211"/>
  <sheetViews>
    <sheetView showGridLines="0" tabSelected="1" zoomScale="85" zoomScaleNormal="85" zoomScaleSheetLayoutView="55" workbookViewId="0" topLeftCell="A1">
      <pane xSplit="7" ySplit="7" topLeftCell="H8" activePane="bottomRight" state="frozen"/>
      <selection pane="topLeft" activeCell="C1" sqref="C1"/>
      <selection pane="topRight" activeCell="H1" sqref="H1"/>
      <selection pane="bottomLeft" activeCell="C8" sqref="C8"/>
      <selection pane="bottomRight" activeCell="F8" sqref="F8"/>
    </sheetView>
  </sheetViews>
  <sheetFormatPr defaultColWidth="12" defaultRowHeight="12.75"/>
  <cols>
    <col min="1" max="1" width="6.5" style="179" hidden="1" customWidth="1"/>
    <col min="2" max="2" width="8.66015625" style="180" hidden="1" customWidth="1"/>
    <col min="3" max="3" width="7.83203125" style="193" customWidth="1"/>
    <col min="4" max="4" width="37" style="277" customWidth="1"/>
    <col min="5" max="5" width="10.16015625" style="278" customWidth="1"/>
    <col min="6" max="6" width="9.66015625" style="193" customWidth="1"/>
    <col min="7" max="7" width="1.83203125" style="279" customWidth="1"/>
    <col min="8" max="8" width="7" style="280" customWidth="1"/>
    <col min="9" max="9" width="1.83203125" style="281" customWidth="1"/>
    <col min="10" max="10" width="7" style="280" customWidth="1"/>
    <col min="11" max="11" width="1.83203125" style="281" customWidth="1"/>
    <col min="12" max="12" width="7.16015625" style="281" customWidth="1"/>
    <col min="13" max="13" width="1.83203125" style="281" customWidth="1"/>
    <col min="14" max="14" width="7.16015625" style="281" customWidth="1"/>
    <col min="15" max="15" width="1.83203125" style="281" customWidth="1"/>
    <col min="16" max="16" width="7.16015625" style="281" customWidth="1"/>
    <col min="17" max="17" width="1.83203125" style="281" customWidth="1"/>
    <col min="18" max="18" width="7" style="280" customWidth="1"/>
    <col min="19" max="19" width="1.83203125" style="281" customWidth="1"/>
    <col min="20" max="20" width="7" style="280" customWidth="1"/>
    <col min="21" max="21" width="1.83203125" style="281" customWidth="1"/>
    <col min="22" max="22" width="7" style="280" customWidth="1"/>
    <col min="23" max="23" width="1.83203125" style="279" customWidth="1"/>
    <col min="24" max="24" width="7" style="280" customWidth="1"/>
    <col min="25" max="25" width="1.83203125" style="279" customWidth="1"/>
    <col min="26" max="26" width="7" style="280" customWidth="1"/>
    <col min="27" max="27" width="1.83203125" style="279" customWidth="1"/>
    <col min="28" max="28" width="7" style="280" customWidth="1"/>
    <col min="29" max="29" width="1.83203125" style="279" customWidth="1"/>
    <col min="30" max="30" width="7" style="280" customWidth="1"/>
    <col min="31" max="31" width="1.83203125" style="279" customWidth="1"/>
    <col min="32" max="32" width="7" style="280" customWidth="1"/>
    <col min="33" max="33" width="1.83203125" style="279" customWidth="1"/>
    <col min="34" max="34" width="7" style="280" customWidth="1"/>
    <col min="35" max="35" width="1.83203125" style="281" customWidth="1"/>
    <col min="36" max="36" width="7" style="280" customWidth="1"/>
    <col min="37" max="37" width="1.83203125" style="279" customWidth="1"/>
    <col min="38" max="38" width="7" style="280" customWidth="1"/>
    <col min="39" max="39" width="1.83203125" style="279" customWidth="1"/>
    <col min="40" max="40" width="7" style="280" customWidth="1"/>
    <col min="41" max="41" width="1.83203125" style="279" customWidth="1"/>
    <col min="42" max="42" width="7" style="279" customWidth="1"/>
    <col min="43" max="43" width="1.83203125" style="279" customWidth="1"/>
    <col min="44" max="44" width="7" style="279" customWidth="1"/>
    <col min="45" max="45" width="1.83203125" style="279" customWidth="1"/>
    <col min="46" max="46" width="7" style="280" customWidth="1"/>
    <col min="47" max="47" width="1.83203125" style="193" customWidth="1"/>
    <col min="48" max="48" width="7" style="193" customWidth="1"/>
    <col min="49" max="49" width="1.83203125" style="193" customWidth="1"/>
    <col min="50" max="50" width="7" style="280" customWidth="1"/>
    <col min="51" max="51" width="1.83203125" style="193" customWidth="1"/>
    <col min="52" max="52" width="7" style="193" customWidth="1"/>
    <col min="53" max="53" width="1.83203125" style="193" customWidth="1"/>
    <col min="54" max="54" width="7.33203125" style="193" customWidth="1"/>
    <col min="55" max="55" width="1.83203125" style="193" customWidth="1"/>
    <col min="56" max="56" width="6.5" style="190" customWidth="1"/>
    <col min="57" max="57" width="2" style="191" customWidth="1"/>
    <col min="58" max="58" width="6.83203125" style="191" customWidth="1"/>
    <col min="59" max="59" width="34.66015625" style="191" customWidth="1"/>
    <col min="60" max="60" width="12" style="191" customWidth="1"/>
    <col min="61" max="61" width="11.33203125" style="191" customWidth="1"/>
    <col min="62" max="63" width="5.5" style="191" customWidth="1"/>
    <col min="64" max="64" width="1.171875" style="191" customWidth="1"/>
    <col min="65" max="65" width="5.5" style="191" customWidth="1"/>
    <col min="66" max="66" width="1.171875" style="191" customWidth="1"/>
    <col min="67" max="67" width="5.5" style="191" customWidth="1"/>
    <col min="68" max="68" width="1.171875" style="191" customWidth="1"/>
    <col min="69" max="69" width="5.5" style="191" customWidth="1"/>
    <col min="70" max="70" width="1.171875" style="191" customWidth="1"/>
    <col min="71" max="71" width="5.5" style="191" customWidth="1"/>
    <col min="72" max="72" width="1.171875" style="191" customWidth="1"/>
    <col min="73" max="73" width="5.5" style="191" customWidth="1"/>
    <col min="74" max="74" width="1.171875" style="191" customWidth="1"/>
    <col min="75" max="75" width="5.5" style="191" customWidth="1"/>
    <col min="76" max="76" width="1.171875" style="191" customWidth="1"/>
    <col min="77" max="77" width="5.5" style="191" customWidth="1"/>
    <col min="78" max="78" width="1.171875" style="191" customWidth="1"/>
    <col min="79" max="79" width="5.5" style="191" customWidth="1"/>
    <col min="80" max="80" width="1.171875" style="191" customWidth="1"/>
    <col min="81" max="81" width="5.5" style="191" customWidth="1"/>
    <col min="82" max="82" width="1.171875" style="191" customWidth="1"/>
    <col min="83" max="83" width="5.5" style="191" customWidth="1"/>
    <col min="84" max="84" width="1.171875" style="191" customWidth="1"/>
    <col min="85" max="85" width="5.5" style="191" customWidth="1"/>
    <col min="86" max="86" width="1.171875" style="191" customWidth="1"/>
    <col min="87" max="87" width="5.5" style="191" customWidth="1"/>
    <col min="88" max="88" width="1.171875" style="191" customWidth="1"/>
    <col min="89" max="89" width="5.5" style="191" customWidth="1"/>
    <col min="90" max="90" width="1.171875" style="191" customWidth="1"/>
    <col min="91" max="91" width="5.5" style="191" customWidth="1"/>
    <col min="92" max="92" width="1.171875" style="191" customWidth="1"/>
    <col min="93" max="93" width="5.5" style="191" customWidth="1"/>
    <col min="94" max="94" width="1.171875" style="191" customWidth="1"/>
    <col min="95" max="95" width="5.5" style="191" customWidth="1"/>
    <col min="96" max="96" width="1.171875" style="191" customWidth="1"/>
    <col min="97" max="97" width="5.5" style="191" customWidth="1"/>
    <col min="98" max="98" width="1.171875" style="191" customWidth="1"/>
    <col min="99" max="99" width="5.5" style="191" customWidth="1"/>
    <col min="100" max="100" width="1.171875" style="191" customWidth="1"/>
    <col min="101" max="101" width="5.5" style="191" customWidth="1"/>
    <col min="102" max="102" width="1.171875" style="191" customWidth="1"/>
    <col min="103" max="103" width="5.5" style="191" customWidth="1"/>
    <col min="104" max="104" width="1.171875" style="191" customWidth="1"/>
    <col min="105" max="105" width="5.5" style="191" customWidth="1"/>
    <col min="106" max="106" width="1.171875" style="191" customWidth="1"/>
    <col min="107" max="107" width="5.5" style="191" customWidth="1"/>
    <col min="108" max="108" width="3.5" style="193" customWidth="1"/>
    <col min="109" max="109" width="9.66015625" style="191" bestFit="1" customWidth="1"/>
    <col min="110" max="110" width="21.66015625" style="191" customWidth="1"/>
    <col min="111" max="111" width="17.33203125" style="191" bestFit="1" customWidth="1"/>
    <col min="112" max="112" width="16.33203125" style="191" bestFit="1" customWidth="1"/>
    <col min="113" max="113" width="15.83203125" style="191" bestFit="1" customWidth="1"/>
    <col min="114" max="114" width="16.33203125" style="191" bestFit="1" customWidth="1"/>
    <col min="115" max="16384" width="12" style="193" customWidth="1"/>
  </cols>
  <sheetData>
    <row r="1" spans="2:58" ht="15.75" customHeight="1">
      <c r="B1" s="180">
        <v>0</v>
      </c>
      <c r="C1" s="181" t="s">
        <v>554</v>
      </c>
      <c r="D1" s="182"/>
      <c r="E1" s="183"/>
      <c r="F1" s="184"/>
      <c r="G1" s="185"/>
      <c r="H1" s="186"/>
      <c r="I1" s="187"/>
      <c r="J1" s="186"/>
      <c r="K1" s="187"/>
      <c r="L1" s="187"/>
      <c r="M1" s="187"/>
      <c r="N1" s="187"/>
      <c r="O1" s="187"/>
      <c r="P1" s="187"/>
      <c r="Q1" s="187"/>
      <c r="R1" s="186"/>
      <c r="S1" s="187"/>
      <c r="T1" s="186"/>
      <c r="U1" s="187"/>
      <c r="V1" s="186"/>
      <c r="W1" s="185"/>
      <c r="X1" s="186"/>
      <c r="Y1" s="185"/>
      <c r="Z1" s="186"/>
      <c r="AA1" s="185"/>
      <c r="AB1" s="186"/>
      <c r="AC1" s="185"/>
      <c r="AD1" s="186"/>
      <c r="AE1" s="185"/>
      <c r="AF1" s="186"/>
      <c r="AG1" s="185"/>
      <c r="AH1" s="186"/>
      <c r="AI1" s="187"/>
      <c r="AJ1" s="186"/>
      <c r="AK1" s="185"/>
      <c r="AL1" s="186"/>
      <c r="AM1" s="185"/>
      <c r="AN1" s="186"/>
      <c r="AO1" s="185"/>
      <c r="AP1" s="185"/>
      <c r="AQ1" s="185"/>
      <c r="AR1" s="185"/>
      <c r="AS1" s="185"/>
      <c r="AT1" s="186"/>
      <c r="AU1" s="188"/>
      <c r="AV1" s="189"/>
      <c r="AW1" s="189"/>
      <c r="AX1" s="186"/>
      <c r="AY1" s="188"/>
      <c r="AZ1" s="189"/>
      <c r="BA1" s="189"/>
      <c r="BB1" s="189"/>
      <c r="BC1" s="189"/>
      <c r="BF1" s="192" t="s">
        <v>447</v>
      </c>
    </row>
    <row r="2" spans="3:55" ht="6.75" customHeight="1">
      <c r="C2" s="194"/>
      <c r="D2" s="195"/>
      <c r="E2" s="196"/>
      <c r="F2" s="197"/>
      <c r="G2" s="198"/>
      <c r="H2" s="199"/>
      <c r="I2" s="200"/>
      <c r="J2" s="199"/>
      <c r="K2" s="200"/>
      <c r="L2" s="200"/>
      <c r="M2" s="200"/>
      <c r="N2" s="200"/>
      <c r="O2" s="200"/>
      <c r="P2" s="200"/>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190"/>
      <c r="AW2" s="190"/>
      <c r="AX2" s="199"/>
      <c r="AY2" s="201"/>
      <c r="AZ2" s="190"/>
      <c r="BA2" s="190"/>
      <c r="BB2" s="190"/>
      <c r="BC2" s="190"/>
    </row>
    <row r="3" spans="2:58" ht="16.5" customHeight="1">
      <c r="B3" s="180">
        <v>180</v>
      </c>
      <c r="C3" s="202" t="s">
        <v>299</v>
      </c>
      <c r="D3" s="704" t="s">
        <v>144</v>
      </c>
      <c r="E3" s="331"/>
      <c r="F3" s="332"/>
      <c r="G3" s="333"/>
      <c r="H3" s="334"/>
      <c r="I3" s="335"/>
      <c r="J3" s="334"/>
      <c r="K3" s="335"/>
      <c r="L3" s="335"/>
      <c r="M3" s="335"/>
      <c r="N3" s="335"/>
      <c r="O3" s="335"/>
      <c r="P3" s="335"/>
      <c r="Q3" s="335"/>
      <c r="R3" s="334"/>
      <c r="S3" s="335"/>
      <c r="T3" s="334"/>
      <c r="U3" s="335"/>
      <c r="V3" s="334"/>
      <c r="W3" s="333"/>
      <c r="X3" s="334"/>
      <c r="Y3" s="333"/>
      <c r="Z3" s="95"/>
      <c r="AA3" s="55"/>
      <c r="AB3" s="95"/>
      <c r="AC3" s="55"/>
      <c r="AD3" s="95"/>
      <c r="AE3" s="202" t="s">
        <v>300</v>
      </c>
      <c r="AF3" s="204"/>
      <c r="AG3" s="203"/>
      <c r="AH3" s="204"/>
      <c r="AI3" s="205"/>
      <c r="AJ3" s="204"/>
      <c r="AK3" s="203"/>
      <c r="AL3" s="334"/>
      <c r="AM3" s="333"/>
      <c r="AN3" s="334"/>
      <c r="AO3" s="333"/>
      <c r="AP3" s="333"/>
      <c r="AQ3" s="333"/>
      <c r="AR3" s="333"/>
      <c r="AS3" s="333"/>
      <c r="AT3" s="334"/>
      <c r="AU3" s="336"/>
      <c r="AV3" s="337"/>
      <c r="AW3" s="337"/>
      <c r="AX3" s="334"/>
      <c r="AY3" s="336"/>
      <c r="AZ3" s="337"/>
      <c r="BA3" s="337"/>
      <c r="BB3" s="337"/>
      <c r="BC3" s="337"/>
      <c r="BF3" s="208" t="s">
        <v>423</v>
      </c>
    </row>
    <row r="4" spans="3:58" ht="2.25" customHeight="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F4" s="611"/>
    </row>
    <row r="5" spans="1:114" s="215" customFormat="1" ht="17.25" customHeight="1">
      <c r="A5" s="209"/>
      <c r="B5" s="180">
        <v>1</v>
      </c>
      <c r="C5" s="783" t="s">
        <v>498</v>
      </c>
      <c r="D5" s="783"/>
      <c r="E5" s="784"/>
      <c r="F5" s="784"/>
      <c r="G5" s="784"/>
      <c r="H5" s="785"/>
      <c r="I5" s="785"/>
      <c r="J5" s="785"/>
      <c r="K5" s="785"/>
      <c r="L5" s="785"/>
      <c r="M5" s="785"/>
      <c r="N5" s="785"/>
      <c r="O5" s="785"/>
      <c r="P5" s="785"/>
      <c r="Q5" s="785"/>
      <c r="R5" s="785"/>
      <c r="S5" s="785"/>
      <c r="T5" s="785"/>
      <c r="U5" s="785"/>
      <c r="V5" s="785"/>
      <c r="W5" s="784"/>
      <c r="X5" s="785"/>
      <c r="Y5" s="784"/>
      <c r="Z5" s="785"/>
      <c r="AA5" s="784"/>
      <c r="AB5" s="785"/>
      <c r="AC5" s="784"/>
      <c r="AD5" s="785"/>
      <c r="AE5" s="784"/>
      <c r="AF5" s="785"/>
      <c r="AG5" s="784"/>
      <c r="AH5" s="785"/>
      <c r="AI5" s="785"/>
      <c r="AJ5" s="785"/>
      <c r="AK5" s="784"/>
      <c r="AL5" s="785"/>
      <c r="AM5" s="784"/>
      <c r="AN5" s="785"/>
      <c r="AO5" s="784"/>
      <c r="AP5" s="784"/>
      <c r="AQ5" s="784"/>
      <c r="AR5" s="784"/>
      <c r="AS5" s="784"/>
      <c r="AT5" s="785"/>
      <c r="AU5" s="210"/>
      <c r="AV5" s="211"/>
      <c r="AW5" s="211"/>
      <c r="AX5" s="211"/>
      <c r="AY5" s="210"/>
      <c r="AZ5" s="211"/>
      <c r="BA5" s="211"/>
      <c r="BB5" s="211"/>
      <c r="BC5" s="211"/>
      <c r="BD5" s="212"/>
      <c r="BE5" s="213"/>
      <c r="BF5" s="214" t="s">
        <v>424</v>
      </c>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612"/>
      <c r="CY5" s="612"/>
      <c r="CZ5" s="612"/>
      <c r="DA5" s="612"/>
      <c r="DB5" s="612"/>
      <c r="DC5" s="612"/>
      <c r="DE5" s="787" t="s">
        <v>380</v>
      </c>
      <c r="DF5" s="787"/>
      <c r="DG5" s="787"/>
      <c r="DH5" s="787"/>
      <c r="DI5" s="787"/>
      <c r="DJ5" s="787"/>
    </row>
    <row r="6" spans="1:114" s="218" customFormat="1" ht="15.75" customHeight="1">
      <c r="A6" s="216"/>
      <c r="B6" s="217"/>
      <c r="D6" s="667"/>
      <c r="E6" s="667"/>
      <c r="F6" s="667"/>
      <c r="G6" s="667"/>
      <c r="H6" s="677" t="s">
        <v>489</v>
      </c>
      <c r="I6" s="667"/>
      <c r="J6" s="667"/>
      <c r="K6" s="667"/>
      <c r="L6" s="667"/>
      <c r="M6" s="667"/>
      <c r="N6" s="667"/>
      <c r="O6" s="667"/>
      <c r="P6" s="667"/>
      <c r="Q6" s="667"/>
      <c r="R6" s="667"/>
      <c r="S6" s="667"/>
      <c r="T6" s="667"/>
      <c r="U6" s="667"/>
      <c r="V6" s="667"/>
      <c r="W6" s="667"/>
      <c r="X6" s="667"/>
      <c r="Y6" s="667"/>
      <c r="Z6" s="667"/>
      <c r="AA6" s="667"/>
      <c r="AB6" s="667"/>
      <c r="AC6" s="667"/>
      <c r="AD6" s="667"/>
      <c r="AE6" s="668"/>
      <c r="AF6" s="668"/>
      <c r="AG6" s="668"/>
      <c r="AL6" s="786"/>
      <c r="AM6" s="786"/>
      <c r="AN6" s="786"/>
      <c r="AO6" s="786"/>
      <c r="AP6" s="786"/>
      <c r="AQ6" s="786"/>
      <c r="AR6" s="786"/>
      <c r="AS6" s="786"/>
      <c r="AT6" s="786"/>
      <c r="AU6" s="786"/>
      <c r="AV6" s="786"/>
      <c r="AW6" s="786"/>
      <c r="AX6" s="786"/>
      <c r="AY6" s="786"/>
      <c r="AZ6" s="786"/>
      <c r="BA6" s="786"/>
      <c r="BB6" s="786"/>
      <c r="BD6" s="219"/>
      <c r="BE6" s="191"/>
      <c r="BF6" s="220" t="s">
        <v>567</v>
      </c>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3"/>
      <c r="DE6" s="221" t="s">
        <v>134</v>
      </c>
      <c r="DF6" s="221" t="s">
        <v>135</v>
      </c>
      <c r="DG6" s="222" t="s">
        <v>136</v>
      </c>
      <c r="DH6" s="222" t="s">
        <v>137</v>
      </c>
      <c r="DI6" s="222" t="s">
        <v>138</v>
      </c>
      <c r="DJ6" s="222" t="s">
        <v>139</v>
      </c>
    </row>
    <row r="7" spans="1:114" s="233" customFormat="1" ht="42.75" customHeight="1">
      <c r="A7" s="223"/>
      <c r="B7" s="224">
        <v>2</v>
      </c>
      <c r="C7" s="225" t="s">
        <v>301</v>
      </c>
      <c r="D7" s="225" t="s">
        <v>302</v>
      </c>
      <c r="E7" s="226" t="s">
        <v>303</v>
      </c>
      <c r="F7" s="225" t="s">
        <v>557</v>
      </c>
      <c r="G7" s="227"/>
      <c r="H7" s="226">
        <v>1990</v>
      </c>
      <c r="I7" s="227"/>
      <c r="J7" s="226">
        <v>1995</v>
      </c>
      <c r="K7" s="227"/>
      <c r="L7" s="226">
        <v>1996</v>
      </c>
      <c r="M7" s="227"/>
      <c r="N7" s="226">
        <v>1997</v>
      </c>
      <c r="O7" s="227"/>
      <c r="P7" s="226">
        <v>1998</v>
      </c>
      <c r="Q7" s="227"/>
      <c r="R7" s="226">
        <v>1999</v>
      </c>
      <c r="S7" s="227"/>
      <c r="T7" s="226">
        <v>2000</v>
      </c>
      <c r="U7" s="227"/>
      <c r="V7" s="226">
        <v>2001</v>
      </c>
      <c r="W7" s="227"/>
      <c r="X7" s="226">
        <v>2002</v>
      </c>
      <c r="Y7" s="227"/>
      <c r="Z7" s="226">
        <v>2003</v>
      </c>
      <c r="AA7" s="227"/>
      <c r="AB7" s="226">
        <v>2004</v>
      </c>
      <c r="AC7" s="227"/>
      <c r="AD7" s="226">
        <v>2005</v>
      </c>
      <c r="AE7" s="227"/>
      <c r="AF7" s="226">
        <v>2006</v>
      </c>
      <c r="AG7" s="227"/>
      <c r="AH7" s="226">
        <v>2007</v>
      </c>
      <c r="AI7" s="227"/>
      <c r="AJ7" s="226">
        <v>2008</v>
      </c>
      <c r="AK7" s="227"/>
      <c r="AL7" s="226">
        <v>2009</v>
      </c>
      <c r="AM7" s="227"/>
      <c r="AN7" s="226">
        <v>2010</v>
      </c>
      <c r="AO7" s="227"/>
      <c r="AP7" s="226">
        <v>2011</v>
      </c>
      <c r="AQ7" s="226"/>
      <c r="AR7" s="226">
        <v>2012</v>
      </c>
      <c r="AS7" s="227"/>
      <c r="AT7" s="226">
        <v>2013</v>
      </c>
      <c r="AU7" s="227"/>
      <c r="AV7" s="226">
        <v>2014</v>
      </c>
      <c r="AW7" s="226"/>
      <c r="AX7" s="226">
        <v>2015</v>
      </c>
      <c r="AY7" s="227"/>
      <c r="AZ7" s="226">
        <v>2016</v>
      </c>
      <c r="BA7" s="226"/>
      <c r="BB7" s="226">
        <v>2017</v>
      </c>
      <c r="BC7" s="227"/>
      <c r="BD7" s="228"/>
      <c r="BE7" s="229"/>
      <c r="BF7" s="225" t="s">
        <v>545</v>
      </c>
      <c r="BG7" s="225" t="s">
        <v>546</v>
      </c>
      <c r="BH7" s="225" t="s">
        <v>548</v>
      </c>
      <c r="BI7" s="225" t="s">
        <v>3</v>
      </c>
      <c r="BJ7" s="226">
        <v>1990</v>
      </c>
      <c r="BK7" s="226">
        <v>1995</v>
      </c>
      <c r="BL7" s="226"/>
      <c r="BM7" s="226">
        <v>1996</v>
      </c>
      <c r="BN7" s="226"/>
      <c r="BO7" s="226">
        <v>1997</v>
      </c>
      <c r="BP7" s="226"/>
      <c r="BQ7" s="226">
        <v>1998</v>
      </c>
      <c r="BR7" s="226"/>
      <c r="BS7" s="226">
        <v>1999</v>
      </c>
      <c r="BT7" s="226"/>
      <c r="BU7" s="226">
        <v>2000</v>
      </c>
      <c r="BV7" s="226"/>
      <c r="BW7" s="226">
        <v>2001</v>
      </c>
      <c r="BX7" s="226"/>
      <c r="BY7" s="226">
        <v>2002</v>
      </c>
      <c r="BZ7" s="226"/>
      <c r="CA7" s="226">
        <v>2003</v>
      </c>
      <c r="CB7" s="226"/>
      <c r="CC7" s="226">
        <v>2004</v>
      </c>
      <c r="CD7" s="226"/>
      <c r="CE7" s="226">
        <v>2005</v>
      </c>
      <c r="CF7" s="226"/>
      <c r="CG7" s="226">
        <v>2006</v>
      </c>
      <c r="CH7" s="226"/>
      <c r="CI7" s="226">
        <v>2007</v>
      </c>
      <c r="CJ7" s="226"/>
      <c r="CK7" s="226">
        <v>2008</v>
      </c>
      <c r="CL7" s="226"/>
      <c r="CM7" s="226">
        <v>2009</v>
      </c>
      <c r="CN7" s="226"/>
      <c r="CO7" s="226">
        <v>2010</v>
      </c>
      <c r="CP7" s="226"/>
      <c r="CQ7" s="226">
        <v>2011</v>
      </c>
      <c r="CR7" s="226"/>
      <c r="CS7" s="226">
        <v>2012</v>
      </c>
      <c r="CT7" s="226"/>
      <c r="CU7" s="226">
        <v>2013</v>
      </c>
      <c r="CV7" s="226"/>
      <c r="CW7" s="226">
        <v>2014</v>
      </c>
      <c r="CX7" s="226"/>
      <c r="CY7" s="226">
        <v>2015</v>
      </c>
      <c r="CZ7" s="226"/>
      <c r="DA7" s="226">
        <v>2016</v>
      </c>
      <c r="DB7" s="226"/>
      <c r="DC7" s="226">
        <v>2017</v>
      </c>
      <c r="DD7" s="230"/>
      <c r="DE7" s="221">
        <v>4</v>
      </c>
      <c r="DF7" s="221" t="s">
        <v>6</v>
      </c>
      <c r="DG7" s="221">
        <v>213500</v>
      </c>
      <c r="DH7" s="221">
        <v>47150</v>
      </c>
      <c r="DI7" s="221">
        <v>10000</v>
      </c>
      <c r="DJ7" s="221">
        <v>65330</v>
      </c>
    </row>
    <row r="8" spans="1:114" s="245" customFormat="1" ht="20.25" customHeight="1">
      <c r="A8" s="234"/>
      <c r="B8" s="235">
        <v>6</v>
      </c>
      <c r="C8" s="236">
        <v>1</v>
      </c>
      <c r="D8" s="237" t="s">
        <v>215</v>
      </c>
      <c r="E8" s="238" t="s">
        <v>304</v>
      </c>
      <c r="F8" s="586"/>
      <c r="G8" s="591"/>
      <c r="H8" s="586"/>
      <c r="I8" s="591"/>
      <c r="J8" s="586"/>
      <c r="K8" s="591"/>
      <c r="L8" s="586"/>
      <c r="M8" s="591"/>
      <c r="N8" s="586"/>
      <c r="O8" s="591"/>
      <c r="P8" s="586"/>
      <c r="Q8" s="591"/>
      <c r="R8" s="586"/>
      <c r="S8" s="591"/>
      <c r="T8" s="586"/>
      <c r="U8" s="591"/>
      <c r="V8" s="586"/>
      <c r="W8" s="591"/>
      <c r="X8" s="586"/>
      <c r="Y8" s="591"/>
      <c r="Z8" s="586"/>
      <c r="AA8" s="591"/>
      <c r="AB8" s="586"/>
      <c r="AC8" s="591"/>
      <c r="AD8" s="586"/>
      <c r="AE8" s="591"/>
      <c r="AF8" s="586"/>
      <c r="AG8" s="591"/>
      <c r="AH8" s="586"/>
      <c r="AI8" s="591"/>
      <c r="AJ8" s="586"/>
      <c r="AK8" s="591"/>
      <c r="AL8" s="586"/>
      <c r="AM8" s="591"/>
      <c r="AN8" s="586"/>
      <c r="AO8" s="591"/>
      <c r="AP8" s="586"/>
      <c r="AQ8" s="591"/>
      <c r="AR8" s="586">
        <v>766.37</v>
      </c>
      <c r="AS8" s="591" t="s">
        <v>688</v>
      </c>
      <c r="AT8" s="586">
        <v>840.2</v>
      </c>
      <c r="AU8" s="591" t="s">
        <v>688</v>
      </c>
      <c r="AV8" s="586">
        <v>711.19</v>
      </c>
      <c r="AW8" s="591" t="s">
        <v>688</v>
      </c>
      <c r="AX8" s="586">
        <v>789.37</v>
      </c>
      <c r="AY8" s="591" t="s">
        <v>688</v>
      </c>
      <c r="AZ8" s="586">
        <v>1199.76</v>
      </c>
      <c r="BA8" s="591" t="s">
        <v>688</v>
      </c>
      <c r="BB8" s="586">
        <v>1110.33</v>
      </c>
      <c r="BC8" s="591" t="s">
        <v>688</v>
      </c>
      <c r="BD8" s="239"/>
      <c r="BE8" s="240"/>
      <c r="BF8" s="100">
        <v>1</v>
      </c>
      <c r="BG8" s="241" t="s">
        <v>443</v>
      </c>
      <c r="BH8" s="242" t="s">
        <v>444</v>
      </c>
      <c r="BI8" s="243" t="str">
        <f>IF(OR(ISERR(AVERAGE(H8:BB8)),ISBLANK(F8)),"N/A",IF(OR(F8&lt;AVERAGE(H8:BB8)*0.75,F8&gt;AVERAGE(H8:BB8)*1.25),"&lt;&gt;Average","ok"))</f>
        <v>N/A</v>
      </c>
      <c r="BJ8" s="244" t="s">
        <v>448</v>
      </c>
      <c r="BK8" s="100" t="str">
        <f>IF(OR(ISBLANK(H8),ISBLANK(J8)),"N/A",IF(ABS((J8-H8)/H8)&gt;1,"&gt; 100%","ok"))</f>
        <v>N/A</v>
      </c>
      <c r="BL8" s="244"/>
      <c r="BM8" s="82" t="str">
        <f>IF(OR(ISBLANK(L8),ISBLANK(J8)),"N/A",IF(ABS((L8-J8)/J8)&gt;0.25,"&gt; 25%","ok"))</f>
        <v>N/A</v>
      </c>
      <c r="BN8" s="244"/>
      <c r="BO8" s="82" t="str">
        <f aca="true" t="shared" si="0" ref="BO8:BO16">IF(OR(ISBLANK(N8),ISBLANK(L8)),"N/A",IF(ABS((N8-L8)/L8)&gt;0.25,"&gt; 25%","ok"))</f>
        <v>N/A</v>
      </c>
      <c r="BP8" s="244"/>
      <c r="BQ8" s="82" t="str">
        <f aca="true" t="shared" si="1" ref="BQ8:BQ16">IF(OR(ISBLANK(P8),ISBLANK(N8)),"N/A",IF(ABS((P8-N8)/N8)&gt;0.25,"&gt; 25%","ok"))</f>
        <v>N/A</v>
      </c>
      <c r="BR8" s="244"/>
      <c r="BS8" s="82" t="str">
        <f aca="true" t="shared" si="2" ref="BS8:BS16">IF(OR(ISBLANK(R8),ISBLANK(P8)),"N/A",IF(ABS((R8-P8)/P8)&gt;0.25,"&gt; 25%","ok"))</f>
        <v>N/A</v>
      </c>
      <c r="BT8" s="244"/>
      <c r="BU8" s="82" t="str">
        <f aca="true" t="shared" si="3" ref="BU8:BU16">IF(OR(ISBLANK(T8),ISBLANK(R8)),"N/A",IF(ABS((T8-R8)/R8)&gt;0.25,"&gt; 25%","ok"))</f>
        <v>N/A</v>
      </c>
      <c r="BV8" s="244"/>
      <c r="BW8" s="82" t="str">
        <f aca="true" t="shared" si="4" ref="BW8:BW16">IF(OR(ISBLANK(V8),ISBLANK(T8)),"N/A",IF(ABS((V8-T8)/T8)&gt;0.25,"&gt; 25%","ok"))</f>
        <v>N/A</v>
      </c>
      <c r="BX8" s="244"/>
      <c r="BY8" s="82" t="str">
        <f aca="true" t="shared" si="5" ref="BY8:BY16">IF(OR(ISBLANK(X8),ISBLANK(V8)),"N/A",IF(ABS((X8-V8)/V8)&gt;0.25,"&gt; 25%","ok"))</f>
        <v>N/A</v>
      </c>
      <c r="BZ8" s="244"/>
      <c r="CA8" s="82" t="str">
        <f aca="true" t="shared" si="6" ref="CA8:CA16">IF(OR(ISBLANK(Z8),ISBLANK(X8)),"N/A",IF(ABS((Z8-X8)/X8)&gt;0.25,"&gt; 25%","ok"))</f>
        <v>N/A</v>
      </c>
      <c r="CB8" s="244"/>
      <c r="CC8" s="82" t="str">
        <f aca="true" t="shared" si="7" ref="CC8:CC16">IF(OR(ISBLANK(AB8),ISBLANK(Z8)),"N/A",IF(ABS((AB8-Z8)/Z8)&gt;0.25,"&gt; 25%","ok"))</f>
        <v>N/A</v>
      </c>
      <c r="CD8" s="244"/>
      <c r="CE8" s="82" t="str">
        <f aca="true" t="shared" si="8" ref="CE8:CE16">IF(OR(ISBLANK(AD8),ISBLANK(AB8)),"N/A",IF(ABS((AD8-AB8)/AB8)&gt;0.25,"&gt; 25%","ok"))</f>
        <v>N/A</v>
      </c>
      <c r="CF8" s="244"/>
      <c r="CG8" s="82" t="str">
        <f aca="true" t="shared" si="9" ref="CG8:CG16">IF(OR(ISBLANK(AF8),ISBLANK(AD8)),"N/A",IF(ABS((AF8-AD8)/AD8)&gt;0.25,"&gt; 25%","ok"))</f>
        <v>N/A</v>
      </c>
      <c r="CH8" s="244"/>
      <c r="CI8" s="82" t="str">
        <f aca="true" t="shared" si="10" ref="CI8:CI16">IF(OR(ISBLANK(AH8),ISBLANK(AF8)),"N/A",IF(ABS((AH8-AF8)/AF8)&gt;0.25,"&gt; 25%","ok"))</f>
        <v>N/A</v>
      </c>
      <c r="CJ8" s="244"/>
      <c r="CK8" s="82" t="str">
        <f aca="true" t="shared" si="11" ref="CK8:CK16">IF(OR(ISBLANK(AJ8),ISBLANK(AH8)),"N/A",IF(ABS((AJ8-AH8)/AH8)&gt;0.25,"&gt; 25%","ok"))</f>
        <v>N/A</v>
      </c>
      <c r="CL8" s="244"/>
      <c r="CM8" s="82" t="str">
        <f aca="true" t="shared" si="12" ref="CM8:CM15">IF(OR(ISBLANK(AL8),ISBLANK(AJ8)),"N/A",IF(ABS((AL8-AJ8)/AJ8)&gt;0.25,"&gt; 25%","ok"))</f>
        <v>N/A</v>
      </c>
      <c r="CN8" s="244"/>
      <c r="CO8" s="82" t="str">
        <f aca="true" t="shared" si="13" ref="CO8:CO16">IF(OR(ISBLANK(AN8),ISBLANK(AL8)),"N/A",IF(ABS((AN8-AL8)/AL8)&gt;0.25,"&gt; 25%","ok"))</f>
        <v>N/A</v>
      </c>
      <c r="CP8" s="244"/>
      <c r="CQ8" s="82" t="str">
        <f aca="true" t="shared" si="14" ref="CQ8:CQ16">IF(OR(ISBLANK(AP8),ISBLANK(AN8)),"N/A",IF(ABS((AP8-AN8)/AN8)&gt;0.25,"&gt; 25%","ok"))</f>
        <v>N/A</v>
      </c>
      <c r="CR8" s="244"/>
      <c r="CS8" s="82" t="str">
        <f aca="true" t="shared" si="15" ref="CS8:CS16">IF(OR(ISBLANK(AR8),ISBLANK(AP8)),"N/A",IF(ABS((AR8-AP8)/AP8)&gt;0.25,"&gt; 25%","ok"))</f>
        <v>N/A</v>
      </c>
      <c r="CT8" s="244"/>
      <c r="CU8" s="82" t="str">
        <f aca="true" t="shared" si="16" ref="CU8:CU16">IF(OR(ISBLANK(AT8),ISBLANK(AR8)),"N/A",IF(ABS((AT8-AR8)/AR8)&gt;0.25,"&gt; 25%","ok"))</f>
        <v>ok</v>
      </c>
      <c r="CV8" s="244"/>
      <c r="CW8" s="82" t="str">
        <f aca="true" t="shared" si="17" ref="CW8:CW16">IF(OR(ISBLANK(AV8),ISBLANK(AT8)),"N/A",IF(ABS((AV8-AT8)/AT8)&gt;0.25,"&gt; 25%","ok"))</f>
        <v>ok</v>
      </c>
      <c r="CX8" s="244"/>
      <c r="CY8" s="82" t="str">
        <f aca="true" t="shared" si="18" ref="CY8:CY16">IF(OR(ISBLANK(AX8),ISBLANK(AV8)),"N/A",IF(ABS((AX8-AV8)/AV8)&gt;0.25,"&gt; 25%","ok"))</f>
        <v>ok</v>
      </c>
      <c r="CZ8" s="244"/>
      <c r="DA8" s="82" t="str">
        <f aca="true" t="shared" si="19" ref="DA8:DA16">IF(OR(ISBLANK(AZ8),ISBLANK(AX8)),"N/A",IF(ABS((AZ8-AX8)/AX8)&gt;0.25,"&gt; 25%","ok"))</f>
        <v>&gt; 25%</v>
      </c>
      <c r="DB8" s="244"/>
      <c r="DC8" s="82" t="str">
        <f>IF(OR(ISBLANK(BB8),ISBLANK(AZ8)),"N/A",IF(ABS((BB8-AZ8)/AZ8)&gt;0.25,"&gt; 25%","ok"))</f>
        <v>ok</v>
      </c>
      <c r="DE8" s="221">
        <v>8</v>
      </c>
      <c r="DF8" s="221" t="s">
        <v>7</v>
      </c>
      <c r="DG8" s="221">
        <v>42690</v>
      </c>
      <c r="DH8" s="221">
        <v>26900</v>
      </c>
      <c r="DI8" s="221">
        <v>3300</v>
      </c>
      <c r="DJ8" s="221">
        <v>30200</v>
      </c>
    </row>
    <row r="9" spans="1:114" s="245" customFormat="1" ht="20.25" customHeight="1">
      <c r="A9" s="234"/>
      <c r="B9" s="235">
        <v>7</v>
      </c>
      <c r="C9" s="246">
        <v>2</v>
      </c>
      <c r="D9" s="247" t="s">
        <v>217</v>
      </c>
      <c r="E9" s="246" t="s">
        <v>304</v>
      </c>
      <c r="F9" s="578"/>
      <c r="G9" s="592"/>
      <c r="H9" s="578"/>
      <c r="I9" s="592"/>
      <c r="J9" s="578"/>
      <c r="K9" s="592"/>
      <c r="L9" s="578"/>
      <c r="M9" s="592"/>
      <c r="N9" s="578"/>
      <c r="O9" s="592"/>
      <c r="P9" s="578"/>
      <c r="Q9" s="592"/>
      <c r="R9" s="578"/>
      <c r="S9" s="592"/>
      <c r="T9" s="578"/>
      <c r="U9" s="592"/>
      <c r="V9" s="578"/>
      <c r="W9" s="592"/>
      <c r="X9" s="578"/>
      <c r="Y9" s="592"/>
      <c r="Z9" s="578"/>
      <c r="AA9" s="592"/>
      <c r="AB9" s="578"/>
      <c r="AC9" s="592"/>
      <c r="AD9" s="578"/>
      <c r="AE9" s="592"/>
      <c r="AF9" s="578"/>
      <c r="AG9" s="592"/>
      <c r="AH9" s="578"/>
      <c r="AI9" s="592"/>
      <c r="AJ9" s="578"/>
      <c r="AK9" s="592"/>
      <c r="AL9" s="578"/>
      <c r="AM9" s="592"/>
      <c r="AN9" s="578"/>
      <c r="AO9" s="592"/>
      <c r="AP9" s="578"/>
      <c r="AQ9" s="592"/>
      <c r="AR9" s="578"/>
      <c r="AS9" s="592"/>
      <c r="AT9" s="578"/>
      <c r="AU9" s="592"/>
      <c r="AV9" s="578"/>
      <c r="AW9" s="592"/>
      <c r="AX9" s="578"/>
      <c r="AY9" s="592"/>
      <c r="AZ9" s="578"/>
      <c r="BA9" s="592"/>
      <c r="BB9" s="578"/>
      <c r="BC9" s="592"/>
      <c r="BD9" s="239"/>
      <c r="BE9" s="240"/>
      <c r="BF9" s="84">
        <v>2</v>
      </c>
      <c r="BG9" s="248" t="s">
        <v>381</v>
      </c>
      <c r="BH9" s="85" t="s">
        <v>444</v>
      </c>
      <c r="BI9" s="84" t="str">
        <f aca="true" t="shared" si="20" ref="BI9:BI16">IF(OR(ISERR(AVERAGE(H9:AV9)),ISBLANK(F9)),"N/A",IF(OR(F9&lt;AVERAGE(H9:AV9)*0.75,F9&gt;AVERAGE(H9:AV9)*1.25),"&lt;&gt;Average","ok"))</f>
        <v>N/A</v>
      </c>
      <c r="BJ9" s="249" t="s">
        <v>448</v>
      </c>
      <c r="BK9" s="100" t="str">
        <f aca="true" t="shared" si="21" ref="BK9:BK16">IF(OR(ISBLANK(H9),ISBLANK(J9)),"N/A",IF(ABS((J9-H9)/H9)&gt;1,"&gt; 100%","ok"))</f>
        <v>N/A</v>
      </c>
      <c r="BL9" s="249"/>
      <c r="BM9" s="82" t="str">
        <f aca="true" t="shared" si="22" ref="BM9:BM16">IF(OR(ISBLANK(L9),ISBLANK(J9)),"N/A",IF(ABS((L9-J9)/J9)&gt;0.25,"&gt; 25%","ok"))</f>
        <v>N/A</v>
      </c>
      <c r="BN9" s="249"/>
      <c r="BO9" s="82" t="str">
        <f t="shared" si="0"/>
        <v>N/A</v>
      </c>
      <c r="BP9" s="249"/>
      <c r="BQ9" s="82" t="str">
        <f t="shared" si="1"/>
        <v>N/A</v>
      </c>
      <c r="BR9" s="249"/>
      <c r="BS9" s="82" t="str">
        <f t="shared" si="2"/>
        <v>N/A</v>
      </c>
      <c r="BT9" s="249"/>
      <c r="BU9" s="82" t="str">
        <f t="shared" si="3"/>
        <v>N/A</v>
      </c>
      <c r="BV9" s="249"/>
      <c r="BW9" s="82" t="str">
        <f t="shared" si="4"/>
        <v>N/A</v>
      </c>
      <c r="BX9" s="249"/>
      <c r="BY9" s="82" t="str">
        <f t="shared" si="5"/>
        <v>N/A</v>
      </c>
      <c r="BZ9" s="249"/>
      <c r="CA9" s="82" t="str">
        <f t="shared" si="6"/>
        <v>N/A</v>
      </c>
      <c r="CB9" s="249"/>
      <c r="CC9" s="82" t="str">
        <f t="shared" si="7"/>
        <v>N/A</v>
      </c>
      <c r="CD9" s="249"/>
      <c r="CE9" s="82" t="str">
        <f t="shared" si="8"/>
        <v>N/A</v>
      </c>
      <c r="CF9" s="249"/>
      <c r="CG9" s="82" t="str">
        <f t="shared" si="9"/>
        <v>N/A</v>
      </c>
      <c r="CH9" s="249"/>
      <c r="CI9" s="82" t="str">
        <f t="shared" si="10"/>
        <v>N/A</v>
      </c>
      <c r="CJ9" s="249"/>
      <c r="CK9" s="82" t="str">
        <f t="shared" si="11"/>
        <v>N/A</v>
      </c>
      <c r="CL9" s="249"/>
      <c r="CM9" s="82" t="str">
        <f t="shared" si="12"/>
        <v>N/A</v>
      </c>
      <c r="CN9" s="249"/>
      <c r="CO9" s="82" t="str">
        <f t="shared" si="13"/>
        <v>N/A</v>
      </c>
      <c r="CP9" s="249"/>
      <c r="CQ9" s="82" t="str">
        <f t="shared" si="14"/>
        <v>N/A</v>
      </c>
      <c r="CR9" s="249"/>
      <c r="CS9" s="82" t="str">
        <f t="shared" si="15"/>
        <v>N/A</v>
      </c>
      <c r="CT9" s="249"/>
      <c r="CU9" s="82" t="str">
        <f t="shared" si="16"/>
        <v>N/A</v>
      </c>
      <c r="CV9" s="249"/>
      <c r="CW9" s="82" t="str">
        <f>IF(OR(ISBLANK(AV9),ISBLANK(AT9)),"N/A",IF(ABS((AV9-AT9)/AT9)&gt;0.25,"&gt; 25%","ok"))</f>
        <v>N/A</v>
      </c>
      <c r="CX9" s="249"/>
      <c r="CY9" s="82" t="str">
        <f t="shared" si="18"/>
        <v>N/A</v>
      </c>
      <c r="CZ9" s="249"/>
      <c r="DA9" s="82" t="str">
        <f t="shared" si="19"/>
        <v>N/A</v>
      </c>
      <c r="DB9" s="249"/>
      <c r="DC9" s="82" t="str">
        <f aca="true" t="shared" si="23" ref="DC9:DC16">IF(OR(ISBLANK(BB9),ISBLANK(AZ9)),"N/A",IF(ABS((BB9-AZ9)/AZ9)&gt;0.25,"&gt; 25%","ok"))</f>
        <v>N/A</v>
      </c>
      <c r="DE9" s="221">
        <v>12</v>
      </c>
      <c r="DF9" s="221" t="s">
        <v>8</v>
      </c>
      <c r="DG9" s="221">
        <v>212000</v>
      </c>
      <c r="DH9" s="221">
        <v>11250</v>
      </c>
      <c r="DI9" s="221">
        <v>390</v>
      </c>
      <c r="DJ9" s="221">
        <v>11670</v>
      </c>
    </row>
    <row r="10" spans="1:114" s="253" customFormat="1" ht="20.25" customHeight="1">
      <c r="A10" s="250" t="s">
        <v>439</v>
      </c>
      <c r="B10" s="235">
        <v>5</v>
      </c>
      <c r="C10" s="236">
        <v>3</v>
      </c>
      <c r="D10" s="247" t="s">
        <v>278</v>
      </c>
      <c r="E10" s="246" t="s">
        <v>304</v>
      </c>
      <c r="F10" s="578"/>
      <c r="G10" s="592"/>
      <c r="H10" s="578"/>
      <c r="I10" s="592"/>
      <c r="J10" s="578"/>
      <c r="K10" s="592"/>
      <c r="L10" s="578"/>
      <c r="M10" s="592"/>
      <c r="N10" s="578"/>
      <c r="O10" s="592"/>
      <c r="P10" s="578"/>
      <c r="Q10" s="592"/>
      <c r="R10" s="578"/>
      <c r="S10" s="592"/>
      <c r="T10" s="578"/>
      <c r="U10" s="592"/>
      <c r="V10" s="578"/>
      <c r="W10" s="592"/>
      <c r="X10" s="578"/>
      <c r="Y10" s="592"/>
      <c r="Z10" s="578"/>
      <c r="AA10" s="592"/>
      <c r="AB10" s="578"/>
      <c r="AC10" s="592"/>
      <c r="AD10" s="578"/>
      <c r="AE10" s="592"/>
      <c r="AF10" s="578"/>
      <c r="AG10" s="592"/>
      <c r="AH10" s="578"/>
      <c r="AI10" s="592"/>
      <c r="AJ10" s="578"/>
      <c r="AK10" s="592"/>
      <c r="AL10" s="578"/>
      <c r="AM10" s="592"/>
      <c r="AN10" s="578"/>
      <c r="AO10" s="592"/>
      <c r="AP10" s="578"/>
      <c r="AQ10" s="592"/>
      <c r="AR10" s="578"/>
      <c r="AS10" s="592"/>
      <c r="AT10" s="578"/>
      <c r="AU10" s="592"/>
      <c r="AV10" s="578"/>
      <c r="AW10" s="592"/>
      <c r="AX10" s="578"/>
      <c r="AY10" s="592"/>
      <c r="AZ10" s="578"/>
      <c r="BA10" s="592"/>
      <c r="BB10" s="578"/>
      <c r="BC10" s="592"/>
      <c r="BD10" s="251"/>
      <c r="BE10" s="252"/>
      <c r="BF10" s="100">
        <v>3</v>
      </c>
      <c r="BG10" s="248" t="s">
        <v>402</v>
      </c>
      <c r="BH10" s="84" t="s">
        <v>444</v>
      </c>
      <c r="BI10" s="84" t="str">
        <f t="shared" si="20"/>
        <v>N/A</v>
      </c>
      <c r="BJ10" s="249" t="s">
        <v>448</v>
      </c>
      <c r="BK10" s="100" t="str">
        <f t="shared" si="21"/>
        <v>N/A</v>
      </c>
      <c r="BL10" s="249"/>
      <c r="BM10" s="82" t="str">
        <f t="shared" si="22"/>
        <v>N/A</v>
      </c>
      <c r="BN10" s="249"/>
      <c r="BO10" s="82" t="str">
        <f t="shared" si="0"/>
        <v>N/A</v>
      </c>
      <c r="BP10" s="249"/>
      <c r="BQ10" s="82" t="str">
        <f t="shared" si="1"/>
        <v>N/A</v>
      </c>
      <c r="BR10" s="249"/>
      <c r="BS10" s="82" t="str">
        <f t="shared" si="2"/>
        <v>N/A</v>
      </c>
      <c r="BT10" s="249"/>
      <c r="BU10" s="82" t="str">
        <f t="shared" si="3"/>
        <v>N/A</v>
      </c>
      <c r="BV10" s="249"/>
      <c r="BW10" s="82" t="str">
        <f t="shared" si="4"/>
        <v>N/A</v>
      </c>
      <c r="BX10" s="249"/>
      <c r="BY10" s="82" t="str">
        <f t="shared" si="5"/>
        <v>N/A</v>
      </c>
      <c r="BZ10" s="249"/>
      <c r="CA10" s="82" t="str">
        <f t="shared" si="6"/>
        <v>N/A</v>
      </c>
      <c r="CB10" s="249"/>
      <c r="CC10" s="82" t="str">
        <f t="shared" si="7"/>
        <v>N/A</v>
      </c>
      <c r="CD10" s="249"/>
      <c r="CE10" s="82" t="str">
        <f t="shared" si="8"/>
        <v>N/A</v>
      </c>
      <c r="CF10" s="249"/>
      <c r="CG10" s="82" t="str">
        <f t="shared" si="9"/>
        <v>N/A</v>
      </c>
      <c r="CH10" s="249"/>
      <c r="CI10" s="82" t="str">
        <f t="shared" si="10"/>
        <v>N/A</v>
      </c>
      <c r="CJ10" s="249"/>
      <c r="CK10" s="82" t="str">
        <f t="shared" si="11"/>
        <v>N/A</v>
      </c>
      <c r="CL10" s="249"/>
      <c r="CM10" s="82" t="str">
        <f t="shared" si="12"/>
        <v>N/A</v>
      </c>
      <c r="CN10" s="249"/>
      <c r="CO10" s="82" t="str">
        <f t="shared" si="13"/>
        <v>N/A</v>
      </c>
      <c r="CP10" s="249"/>
      <c r="CQ10" s="82" t="str">
        <f t="shared" si="14"/>
        <v>N/A</v>
      </c>
      <c r="CR10" s="249"/>
      <c r="CS10" s="82" t="str">
        <f t="shared" si="15"/>
        <v>N/A</v>
      </c>
      <c r="CT10" s="249"/>
      <c r="CU10" s="82" t="str">
        <f t="shared" si="16"/>
        <v>N/A</v>
      </c>
      <c r="CV10" s="249"/>
      <c r="CW10" s="82" t="str">
        <f t="shared" si="17"/>
        <v>N/A</v>
      </c>
      <c r="CX10" s="249"/>
      <c r="CY10" s="82" t="str">
        <f t="shared" si="18"/>
        <v>N/A</v>
      </c>
      <c r="CZ10" s="249"/>
      <c r="DA10" s="82" t="str">
        <f>IF(OR(ISBLANK(AZ10),ISBLANK(AX10)),"N/A",IF(ABS((AZ10-AX10)/AX10)&gt;0.25,"&gt; 25%","ok"))</f>
        <v>N/A</v>
      </c>
      <c r="DB10" s="249"/>
      <c r="DC10" s="82" t="str">
        <f t="shared" si="23"/>
        <v>N/A</v>
      </c>
      <c r="DE10" s="221">
        <v>20</v>
      </c>
      <c r="DF10" s="221" t="s">
        <v>140</v>
      </c>
      <c r="DG10" s="221">
        <v>472.4</v>
      </c>
      <c r="DH10" s="221">
        <v>315.59999999999997</v>
      </c>
      <c r="DI10" s="221"/>
      <c r="DJ10" s="221">
        <v>315.59999999999997</v>
      </c>
    </row>
    <row r="11" spans="1:114" s="245" customFormat="1" ht="27.75" customHeight="1">
      <c r="A11" s="234"/>
      <c r="B11" s="235">
        <v>8</v>
      </c>
      <c r="C11" s="246">
        <v>4</v>
      </c>
      <c r="D11" s="254" t="s">
        <v>220</v>
      </c>
      <c r="E11" s="246" t="s">
        <v>304</v>
      </c>
      <c r="F11" s="578"/>
      <c r="G11" s="592"/>
      <c r="H11" s="578"/>
      <c r="I11" s="592"/>
      <c r="J11" s="578"/>
      <c r="K11" s="592"/>
      <c r="L11" s="578"/>
      <c r="M11" s="592"/>
      <c r="N11" s="578"/>
      <c r="O11" s="592"/>
      <c r="P11" s="578"/>
      <c r="Q11" s="592"/>
      <c r="R11" s="578"/>
      <c r="S11" s="592"/>
      <c r="T11" s="578"/>
      <c r="U11" s="592"/>
      <c r="V11" s="578"/>
      <c r="W11" s="592"/>
      <c r="X11" s="578"/>
      <c r="Y11" s="592"/>
      <c r="Z11" s="578"/>
      <c r="AA11" s="592"/>
      <c r="AB11" s="578"/>
      <c r="AC11" s="592"/>
      <c r="AD11" s="578"/>
      <c r="AE11" s="592"/>
      <c r="AF11" s="578"/>
      <c r="AG11" s="592"/>
      <c r="AH11" s="578"/>
      <c r="AI11" s="592"/>
      <c r="AJ11" s="578"/>
      <c r="AK11" s="592"/>
      <c r="AL11" s="578"/>
      <c r="AM11" s="592"/>
      <c r="AN11" s="578"/>
      <c r="AO11" s="592"/>
      <c r="AP11" s="578"/>
      <c r="AQ11" s="592"/>
      <c r="AR11" s="578"/>
      <c r="AS11" s="592"/>
      <c r="AT11" s="578"/>
      <c r="AU11" s="592"/>
      <c r="AV11" s="578"/>
      <c r="AW11" s="592"/>
      <c r="AX11" s="578"/>
      <c r="AY11" s="592"/>
      <c r="AZ11" s="578"/>
      <c r="BA11" s="592"/>
      <c r="BB11" s="578"/>
      <c r="BC11" s="592"/>
      <c r="BD11" s="239"/>
      <c r="BE11" s="240"/>
      <c r="BF11" s="84">
        <v>4</v>
      </c>
      <c r="BG11" s="248" t="s">
        <v>514</v>
      </c>
      <c r="BH11" s="85" t="s">
        <v>444</v>
      </c>
      <c r="BI11" s="84" t="str">
        <f t="shared" si="20"/>
        <v>N/A</v>
      </c>
      <c r="BJ11" s="249" t="s">
        <v>448</v>
      </c>
      <c r="BK11" s="100" t="str">
        <f t="shared" si="21"/>
        <v>N/A</v>
      </c>
      <c r="BL11" s="249"/>
      <c r="BM11" s="82" t="str">
        <f t="shared" si="22"/>
        <v>N/A</v>
      </c>
      <c r="BN11" s="249"/>
      <c r="BO11" s="82" t="str">
        <f t="shared" si="0"/>
        <v>N/A</v>
      </c>
      <c r="BP11" s="249"/>
      <c r="BQ11" s="82" t="str">
        <f t="shared" si="1"/>
        <v>N/A</v>
      </c>
      <c r="BR11" s="249"/>
      <c r="BS11" s="82" t="str">
        <f t="shared" si="2"/>
        <v>N/A</v>
      </c>
      <c r="BT11" s="249"/>
      <c r="BU11" s="82" t="str">
        <f t="shared" si="3"/>
        <v>N/A</v>
      </c>
      <c r="BV11" s="249"/>
      <c r="BW11" s="82" t="str">
        <f t="shared" si="4"/>
        <v>N/A</v>
      </c>
      <c r="BX11" s="249"/>
      <c r="BY11" s="82" t="str">
        <f t="shared" si="5"/>
        <v>N/A</v>
      </c>
      <c r="BZ11" s="249"/>
      <c r="CA11" s="82" t="str">
        <f t="shared" si="6"/>
        <v>N/A</v>
      </c>
      <c r="CB11" s="249"/>
      <c r="CC11" s="82" t="str">
        <f t="shared" si="7"/>
        <v>N/A</v>
      </c>
      <c r="CD11" s="249"/>
      <c r="CE11" s="82" t="str">
        <f t="shared" si="8"/>
        <v>N/A</v>
      </c>
      <c r="CF11" s="249"/>
      <c r="CG11" s="82" t="str">
        <f t="shared" si="9"/>
        <v>N/A</v>
      </c>
      <c r="CH11" s="249"/>
      <c r="CI11" s="82" t="str">
        <f t="shared" si="10"/>
        <v>N/A</v>
      </c>
      <c r="CJ11" s="249"/>
      <c r="CK11" s="82" t="str">
        <f t="shared" si="11"/>
        <v>N/A</v>
      </c>
      <c r="CL11" s="249"/>
      <c r="CM11" s="82" t="str">
        <f t="shared" si="12"/>
        <v>N/A</v>
      </c>
      <c r="CN11" s="249"/>
      <c r="CO11" s="82" t="str">
        <f t="shared" si="13"/>
        <v>N/A</v>
      </c>
      <c r="CP11" s="249"/>
      <c r="CQ11" s="82" t="str">
        <f t="shared" si="14"/>
        <v>N/A</v>
      </c>
      <c r="CR11" s="249"/>
      <c r="CS11" s="82" t="str">
        <f t="shared" si="15"/>
        <v>N/A</v>
      </c>
      <c r="CT11" s="249"/>
      <c r="CU11" s="82" t="str">
        <f t="shared" si="16"/>
        <v>N/A</v>
      </c>
      <c r="CV11" s="249"/>
      <c r="CW11" s="82" t="str">
        <f t="shared" si="17"/>
        <v>N/A</v>
      </c>
      <c r="CX11" s="249"/>
      <c r="CY11" s="82" t="str">
        <f t="shared" si="18"/>
        <v>N/A</v>
      </c>
      <c r="CZ11" s="249"/>
      <c r="DA11" s="82" t="str">
        <f t="shared" si="19"/>
        <v>N/A</v>
      </c>
      <c r="DB11" s="249"/>
      <c r="DC11" s="82" t="str">
        <f t="shared" si="23"/>
        <v>N/A</v>
      </c>
      <c r="DE11" s="221">
        <v>24</v>
      </c>
      <c r="DF11" s="221" t="s">
        <v>9</v>
      </c>
      <c r="DG11" s="221">
        <v>1259000</v>
      </c>
      <c r="DH11" s="221">
        <v>148000</v>
      </c>
      <c r="DI11" s="221">
        <v>400</v>
      </c>
      <c r="DJ11" s="221">
        <v>148400</v>
      </c>
    </row>
    <row r="12" spans="1:114" s="251" customFormat="1" ht="27.75" customHeight="1">
      <c r="A12" s="250" t="s">
        <v>439</v>
      </c>
      <c r="B12" s="235">
        <v>124</v>
      </c>
      <c r="C12" s="255">
        <v>5</v>
      </c>
      <c r="D12" s="256" t="s">
        <v>277</v>
      </c>
      <c r="E12" s="257" t="s">
        <v>304</v>
      </c>
      <c r="F12" s="583"/>
      <c r="G12" s="593"/>
      <c r="H12" s="583"/>
      <c r="I12" s="593"/>
      <c r="J12" s="583"/>
      <c r="K12" s="593"/>
      <c r="L12" s="583"/>
      <c r="M12" s="593"/>
      <c r="N12" s="583"/>
      <c r="O12" s="593"/>
      <c r="P12" s="583"/>
      <c r="Q12" s="593"/>
      <c r="R12" s="583"/>
      <c r="S12" s="593"/>
      <c r="T12" s="583"/>
      <c r="U12" s="593"/>
      <c r="V12" s="583"/>
      <c r="W12" s="593"/>
      <c r="X12" s="583"/>
      <c r="Y12" s="593"/>
      <c r="Z12" s="583"/>
      <c r="AA12" s="593"/>
      <c r="AB12" s="583"/>
      <c r="AC12" s="593"/>
      <c r="AD12" s="583"/>
      <c r="AE12" s="593"/>
      <c r="AF12" s="583"/>
      <c r="AG12" s="593"/>
      <c r="AH12" s="583"/>
      <c r="AI12" s="593"/>
      <c r="AJ12" s="583"/>
      <c r="AK12" s="593"/>
      <c r="AL12" s="583"/>
      <c r="AM12" s="593"/>
      <c r="AN12" s="583"/>
      <c r="AO12" s="593"/>
      <c r="AP12" s="583"/>
      <c r="AQ12" s="593"/>
      <c r="AR12" s="583"/>
      <c r="AS12" s="593"/>
      <c r="AT12" s="583"/>
      <c r="AU12" s="593"/>
      <c r="AV12" s="583"/>
      <c r="AW12" s="593"/>
      <c r="AX12" s="583"/>
      <c r="AY12" s="593"/>
      <c r="AZ12" s="583"/>
      <c r="BA12" s="593"/>
      <c r="BB12" s="583"/>
      <c r="BC12" s="593"/>
      <c r="BE12" s="252"/>
      <c r="BF12" s="100">
        <v>5</v>
      </c>
      <c r="BG12" s="258" t="s">
        <v>401</v>
      </c>
      <c r="BH12" s="85" t="s">
        <v>444</v>
      </c>
      <c r="BI12" s="84" t="str">
        <f t="shared" si="20"/>
        <v>N/A</v>
      </c>
      <c r="BJ12" s="249" t="s">
        <v>448</v>
      </c>
      <c r="BK12" s="100" t="str">
        <f t="shared" si="21"/>
        <v>N/A</v>
      </c>
      <c r="BL12" s="249"/>
      <c r="BM12" s="82" t="str">
        <f t="shared" si="22"/>
        <v>N/A</v>
      </c>
      <c r="BN12" s="249"/>
      <c r="BO12" s="82" t="str">
        <f t="shared" si="0"/>
        <v>N/A</v>
      </c>
      <c r="BP12" s="249"/>
      <c r="BQ12" s="82" t="str">
        <f t="shared" si="1"/>
        <v>N/A</v>
      </c>
      <c r="BR12" s="249"/>
      <c r="BS12" s="82" t="str">
        <f t="shared" si="2"/>
        <v>N/A</v>
      </c>
      <c r="BT12" s="249"/>
      <c r="BU12" s="82" t="str">
        <f t="shared" si="3"/>
        <v>N/A</v>
      </c>
      <c r="BV12" s="249"/>
      <c r="BW12" s="82" t="str">
        <f t="shared" si="4"/>
        <v>N/A</v>
      </c>
      <c r="BX12" s="249"/>
      <c r="BY12" s="82" t="str">
        <f t="shared" si="5"/>
        <v>N/A</v>
      </c>
      <c r="BZ12" s="249"/>
      <c r="CA12" s="82" t="str">
        <f t="shared" si="6"/>
        <v>N/A</v>
      </c>
      <c r="CB12" s="249"/>
      <c r="CC12" s="82" t="str">
        <f t="shared" si="7"/>
        <v>N/A</v>
      </c>
      <c r="CD12" s="249"/>
      <c r="CE12" s="82" t="str">
        <f t="shared" si="8"/>
        <v>N/A</v>
      </c>
      <c r="CF12" s="249"/>
      <c r="CG12" s="82" t="str">
        <f t="shared" si="9"/>
        <v>N/A</v>
      </c>
      <c r="CH12" s="249"/>
      <c r="CI12" s="82" t="str">
        <f t="shared" si="10"/>
        <v>N/A</v>
      </c>
      <c r="CJ12" s="249"/>
      <c r="CK12" s="82" t="str">
        <f t="shared" si="11"/>
        <v>N/A</v>
      </c>
      <c r="CL12" s="249"/>
      <c r="CM12" s="82" t="str">
        <f t="shared" si="12"/>
        <v>N/A</v>
      </c>
      <c r="CN12" s="249"/>
      <c r="CO12" s="82" t="str">
        <f t="shared" si="13"/>
        <v>N/A</v>
      </c>
      <c r="CP12" s="249"/>
      <c r="CQ12" s="82" t="str">
        <f t="shared" si="14"/>
        <v>N/A</v>
      </c>
      <c r="CR12" s="249"/>
      <c r="CS12" s="82" t="str">
        <f t="shared" si="15"/>
        <v>N/A</v>
      </c>
      <c r="CT12" s="249"/>
      <c r="CU12" s="82" t="str">
        <f t="shared" si="16"/>
        <v>N/A</v>
      </c>
      <c r="CV12" s="249"/>
      <c r="CW12" s="82" t="str">
        <f t="shared" si="17"/>
        <v>N/A</v>
      </c>
      <c r="CX12" s="249"/>
      <c r="CY12" s="82" t="str">
        <f t="shared" si="18"/>
        <v>N/A</v>
      </c>
      <c r="CZ12" s="249"/>
      <c r="DA12" s="82" t="str">
        <f t="shared" si="19"/>
        <v>N/A</v>
      </c>
      <c r="DB12" s="249"/>
      <c r="DC12" s="82" t="str">
        <f t="shared" si="23"/>
        <v>N/A</v>
      </c>
      <c r="DE12" s="221">
        <v>28</v>
      </c>
      <c r="DF12" s="221" t="s">
        <v>10</v>
      </c>
      <c r="DG12" s="221">
        <v>453.2</v>
      </c>
      <c r="DH12" s="221">
        <v>52</v>
      </c>
      <c r="DI12" s="221">
        <v>0</v>
      </c>
      <c r="DJ12" s="221">
        <v>52</v>
      </c>
    </row>
    <row r="13" spans="1:114" s="251" customFormat="1" ht="27.75" customHeight="1">
      <c r="A13" s="259" t="s">
        <v>439</v>
      </c>
      <c r="B13" s="235">
        <v>127</v>
      </c>
      <c r="C13" s="246">
        <v>6</v>
      </c>
      <c r="D13" s="254" t="s">
        <v>223</v>
      </c>
      <c r="E13" s="260" t="s">
        <v>304</v>
      </c>
      <c r="F13" s="578"/>
      <c r="G13" s="592"/>
      <c r="H13" s="578"/>
      <c r="I13" s="592"/>
      <c r="J13" s="578"/>
      <c r="K13" s="592"/>
      <c r="L13" s="578"/>
      <c r="M13" s="592"/>
      <c r="N13" s="578"/>
      <c r="O13" s="592"/>
      <c r="P13" s="578"/>
      <c r="Q13" s="592"/>
      <c r="R13" s="578"/>
      <c r="S13" s="592"/>
      <c r="T13" s="578"/>
      <c r="U13" s="592"/>
      <c r="V13" s="578"/>
      <c r="W13" s="592"/>
      <c r="X13" s="578"/>
      <c r="Y13" s="592"/>
      <c r="Z13" s="578"/>
      <c r="AA13" s="592"/>
      <c r="AB13" s="578"/>
      <c r="AC13" s="592"/>
      <c r="AD13" s="578"/>
      <c r="AE13" s="592"/>
      <c r="AF13" s="578"/>
      <c r="AG13" s="592"/>
      <c r="AH13" s="578"/>
      <c r="AI13" s="592"/>
      <c r="AJ13" s="578"/>
      <c r="AK13" s="592"/>
      <c r="AL13" s="578"/>
      <c r="AM13" s="592"/>
      <c r="AN13" s="578"/>
      <c r="AO13" s="592"/>
      <c r="AP13" s="578"/>
      <c r="AQ13" s="592"/>
      <c r="AR13" s="578"/>
      <c r="AS13" s="592"/>
      <c r="AT13" s="578"/>
      <c r="AU13" s="592"/>
      <c r="AV13" s="578"/>
      <c r="AW13" s="592"/>
      <c r="AX13" s="578"/>
      <c r="AY13" s="592"/>
      <c r="AZ13" s="578"/>
      <c r="BA13" s="592"/>
      <c r="BB13" s="578"/>
      <c r="BC13" s="592"/>
      <c r="BE13" s="252"/>
      <c r="BF13" s="100">
        <v>6</v>
      </c>
      <c r="BG13" s="248" t="s">
        <v>373</v>
      </c>
      <c r="BH13" s="85" t="s">
        <v>444</v>
      </c>
      <c r="BI13" s="261" t="str">
        <f t="shared" si="20"/>
        <v>N/A</v>
      </c>
      <c r="BJ13" s="262" t="s">
        <v>448</v>
      </c>
      <c r="BK13" s="84" t="str">
        <f t="shared" si="21"/>
        <v>N/A</v>
      </c>
      <c r="BL13" s="262"/>
      <c r="BM13" s="82" t="str">
        <f t="shared" si="22"/>
        <v>N/A</v>
      </c>
      <c r="BN13" s="262"/>
      <c r="BO13" s="85" t="str">
        <f t="shared" si="0"/>
        <v>N/A</v>
      </c>
      <c r="BP13" s="249"/>
      <c r="BQ13" s="85" t="str">
        <f t="shared" si="1"/>
        <v>N/A</v>
      </c>
      <c r="BR13" s="249"/>
      <c r="BS13" s="85" t="str">
        <f t="shared" si="2"/>
        <v>N/A</v>
      </c>
      <c r="BT13" s="249"/>
      <c r="BU13" s="85" t="str">
        <f t="shared" si="3"/>
        <v>N/A</v>
      </c>
      <c r="BV13" s="249"/>
      <c r="BW13" s="85" t="str">
        <f t="shared" si="4"/>
        <v>N/A</v>
      </c>
      <c r="BX13" s="249"/>
      <c r="BY13" s="85" t="str">
        <f t="shared" si="5"/>
        <v>N/A</v>
      </c>
      <c r="BZ13" s="249"/>
      <c r="CA13" s="85" t="str">
        <f t="shared" si="6"/>
        <v>N/A</v>
      </c>
      <c r="CB13" s="249"/>
      <c r="CC13" s="85" t="str">
        <f t="shared" si="7"/>
        <v>N/A</v>
      </c>
      <c r="CD13" s="249"/>
      <c r="CE13" s="85" t="str">
        <f t="shared" si="8"/>
        <v>N/A</v>
      </c>
      <c r="CF13" s="249"/>
      <c r="CG13" s="82" t="str">
        <f t="shared" si="9"/>
        <v>N/A</v>
      </c>
      <c r="CH13" s="262"/>
      <c r="CI13" s="82" t="str">
        <f t="shared" si="10"/>
        <v>N/A</v>
      </c>
      <c r="CJ13" s="262"/>
      <c r="CK13" s="82" t="str">
        <f t="shared" si="11"/>
        <v>N/A</v>
      </c>
      <c r="CL13" s="262"/>
      <c r="CM13" s="82" t="str">
        <f t="shared" si="12"/>
        <v>N/A</v>
      </c>
      <c r="CN13" s="262"/>
      <c r="CO13" s="82" t="str">
        <f t="shared" si="13"/>
        <v>N/A</v>
      </c>
      <c r="CP13" s="262"/>
      <c r="CQ13" s="82" t="str">
        <f t="shared" si="14"/>
        <v>N/A</v>
      </c>
      <c r="CR13" s="262"/>
      <c r="CS13" s="82" t="str">
        <f t="shared" si="15"/>
        <v>N/A</v>
      </c>
      <c r="CT13" s="262"/>
      <c r="CU13" s="82" t="str">
        <f t="shared" si="16"/>
        <v>N/A</v>
      </c>
      <c r="CV13" s="262"/>
      <c r="CW13" s="82" t="str">
        <f t="shared" si="17"/>
        <v>N/A</v>
      </c>
      <c r="CX13" s="262"/>
      <c r="CY13" s="82" t="str">
        <f t="shared" si="18"/>
        <v>N/A</v>
      </c>
      <c r="CZ13" s="262"/>
      <c r="DA13" s="82" t="str">
        <f t="shared" si="19"/>
        <v>N/A</v>
      </c>
      <c r="DB13" s="262"/>
      <c r="DC13" s="82" t="str">
        <f t="shared" si="23"/>
        <v>N/A</v>
      </c>
      <c r="DE13" s="221">
        <v>32</v>
      </c>
      <c r="DF13" s="221" t="s">
        <v>11</v>
      </c>
      <c r="DG13" s="221">
        <v>1643000</v>
      </c>
      <c r="DH13" s="221">
        <v>292000</v>
      </c>
      <c r="DI13" s="221">
        <v>516299.99999999994</v>
      </c>
      <c r="DJ13" s="221">
        <v>876200</v>
      </c>
    </row>
    <row r="14" spans="1:114" s="251" customFormat="1" ht="27.75" customHeight="1">
      <c r="A14" s="250"/>
      <c r="B14" s="235">
        <v>125</v>
      </c>
      <c r="C14" s="263">
        <v>7</v>
      </c>
      <c r="D14" s="264" t="s">
        <v>336</v>
      </c>
      <c r="E14" s="260" t="s">
        <v>304</v>
      </c>
      <c r="F14" s="587"/>
      <c r="G14" s="597"/>
      <c r="H14" s="587"/>
      <c r="I14" s="597"/>
      <c r="J14" s="587"/>
      <c r="K14" s="597"/>
      <c r="L14" s="587"/>
      <c r="M14" s="597"/>
      <c r="N14" s="587"/>
      <c r="O14" s="597"/>
      <c r="P14" s="587"/>
      <c r="Q14" s="597"/>
      <c r="R14" s="587"/>
      <c r="S14" s="597"/>
      <c r="T14" s="587"/>
      <c r="U14" s="597"/>
      <c r="V14" s="587"/>
      <c r="W14" s="597"/>
      <c r="X14" s="587"/>
      <c r="Y14" s="597"/>
      <c r="Z14" s="587"/>
      <c r="AA14" s="597"/>
      <c r="AB14" s="587"/>
      <c r="AC14" s="597"/>
      <c r="AD14" s="587"/>
      <c r="AE14" s="597"/>
      <c r="AF14" s="587"/>
      <c r="AG14" s="597"/>
      <c r="AH14" s="587"/>
      <c r="AI14" s="597"/>
      <c r="AJ14" s="587"/>
      <c r="AK14" s="597"/>
      <c r="AL14" s="587"/>
      <c r="AM14" s="597"/>
      <c r="AN14" s="587"/>
      <c r="AO14" s="597"/>
      <c r="AP14" s="587"/>
      <c r="AQ14" s="597"/>
      <c r="AR14" s="587"/>
      <c r="AS14" s="597"/>
      <c r="AT14" s="587"/>
      <c r="AU14" s="597"/>
      <c r="AV14" s="587"/>
      <c r="AW14" s="597"/>
      <c r="AX14" s="587"/>
      <c r="AY14" s="597"/>
      <c r="AZ14" s="587"/>
      <c r="BA14" s="597"/>
      <c r="BB14" s="587"/>
      <c r="BC14" s="597"/>
      <c r="BE14" s="252"/>
      <c r="BF14" s="84">
        <v>7</v>
      </c>
      <c r="BG14" s="265" t="s">
        <v>568</v>
      </c>
      <c r="BH14" s="85" t="s">
        <v>444</v>
      </c>
      <c r="BI14" s="261" t="str">
        <f t="shared" si="20"/>
        <v>N/A</v>
      </c>
      <c r="BJ14" s="262" t="s">
        <v>448</v>
      </c>
      <c r="BK14" s="84" t="str">
        <f t="shared" si="21"/>
        <v>N/A</v>
      </c>
      <c r="BL14" s="262"/>
      <c r="BM14" s="82" t="str">
        <f t="shared" si="22"/>
        <v>N/A</v>
      </c>
      <c r="BN14" s="262"/>
      <c r="BO14" s="97" t="str">
        <f t="shared" si="0"/>
        <v>N/A</v>
      </c>
      <c r="BP14" s="266"/>
      <c r="BQ14" s="97" t="str">
        <f t="shared" si="1"/>
        <v>N/A</v>
      </c>
      <c r="BR14" s="266"/>
      <c r="BS14" s="97" t="str">
        <f t="shared" si="2"/>
        <v>N/A</v>
      </c>
      <c r="BT14" s="266"/>
      <c r="BU14" s="97" t="str">
        <f t="shared" si="3"/>
        <v>N/A</v>
      </c>
      <c r="BV14" s="266"/>
      <c r="BW14" s="97" t="str">
        <f t="shared" si="4"/>
        <v>N/A</v>
      </c>
      <c r="BX14" s="266"/>
      <c r="BY14" s="97" t="str">
        <f t="shared" si="5"/>
        <v>N/A</v>
      </c>
      <c r="BZ14" s="266"/>
      <c r="CA14" s="97" t="str">
        <f t="shared" si="6"/>
        <v>N/A</v>
      </c>
      <c r="CB14" s="266"/>
      <c r="CC14" s="97" t="str">
        <f t="shared" si="7"/>
        <v>N/A</v>
      </c>
      <c r="CD14" s="266"/>
      <c r="CE14" s="97" t="str">
        <f t="shared" si="8"/>
        <v>N/A</v>
      </c>
      <c r="CF14" s="262"/>
      <c r="CG14" s="82" t="str">
        <f t="shared" si="9"/>
        <v>N/A</v>
      </c>
      <c r="CH14" s="262"/>
      <c r="CI14" s="82" t="str">
        <f t="shared" si="10"/>
        <v>N/A</v>
      </c>
      <c r="CJ14" s="262"/>
      <c r="CK14" s="82" t="str">
        <f t="shared" si="11"/>
        <v>N/A</v>
      </c>
      <c r="CL14" s="262"/>
      <c r="CM14" s="82" t="str">
        <f t="shared" si="12"/>
        <v>N/A</v>
      </c>
      <c r="CN14" s="262"/>
      <c r="CO14" s="82" t="str">
        <f t="shared" si="13"/>
        <v>N/A</v>
      </c>
      <c r="CP14" s="262"/>
      <c r="CQ14" s="82" t="str">
        <f t="shared" si="14"/>
        <v>N/A</v>
      </c>
      <c r="CR14" s="262"/>
      <c r="CS14" s="82" t="str">
        <f t="shared" si="15"/>
        <v>N/A</v>
      </c>
      <c r="CT14" s="262"/>
      <c r="CU14" s="82" t="str">
        <f t="shared" si="16"/>
        <v>N/A</v>
      </c>
      <c r="CV14" s="262"/>
      <c r="CW14" s="82" t="str">
        <f t="shared" si="17"/>
        <v>N/A</v>
      </c>
      <c r="CX14" s="262"/>
      <c r="CY14" s="82" t="str">
        <f t="shared" si="18"/>
        <v>N/A</v>
      </c>
      <c r="CZ14" s="262"/>
      <c r="DA14" s="82" t="str">
        <f t="shared" si="19"/>
        <v>N/A</v>
      </c>
      <c r="DB14" s="262"/>
      <c r="DC14" s="82" t="str">
        <f t="shared" si="23"/>
        <v>N/A</v>
      </c>
      <c r="DE14" s="221">
        <v>51</v>
      </c>
      <c r="DF14" s="221" t="s">
        <v>12</v>
      </c>
      <c r="DG14" s="221">
        <v>16710</v>
      </c>
      <c r="DH14" s="221">
        <v>6859</v>
      </c>
      <c r="DI14" s="221">
        <v>0</v>
      </c>
      <c r="DJ14" s="221">
        <v>7769</v>
      </c>
    </row>
    <row r="15" spans="1:114" s="251" customFormat="1" ht="20.25" customHeight="1">
      <c r="A15" s="250"/>
      <c r="B15" s="235">
        <v>126</v>
      </c>
      <c r="C15" s="263">
        <v>8</v>
      </c>
      <c r="D15" s="267" t="s">
        <v>337</v>
      </c>
      <c r="E15" s="260" t="s">
        <v>304</v>
      </c>
      <c r="F15" s="589"/>
      <c r="G15" s="594"/>
      <c r="H15" s="589"/>
      <c r="I15" s="594"/>
      <c r="J15" s="589"/>
      <c r="K15" s="594"/>
      <c r="L15" s="589"/>
      <c r="M15" s="594"/>
      <c r="N15" s="589"/>
      <c r="O15" s="594"/>
      <c r="P15" s="589"/>
      <c r="Q15" s="594"/>
      <c r="R15" s="589"/>
      <c r="S15" s="594"/>
      <c r="T15" s="589"/>
      <c r="U15" s="594"/>
      <c r="V15" s="589"/>
      <c r="W15" s="594"/>
      <c r="X15" s="589"/>
      <c r="Y15" s="594"/>
      <c r="Z15" s="589"/>
      <c r="AA15" s="594"/>
      <c r="AB15" s="589"/>
      <c r="AC15" s="594"/>
      <c r="AD15" s="589"/>
      <c r="AE15" s="594"/>
      <c r="AF15" s="589"/>
      <c r="AG15" s="594"/>
      <c r="AH15" s="589"/>
      <c r="AI15" s="594"/>
      <c r="AJ15" s="589"/>
      <c r="AK15" s="594"/>
      <c r="AL15" s="589"/>
      <c r="AM15" s="594"/>
      <c r="AN15" s="589"/>
      <c r="AO15" s="594"/>
      <c r="AP15" s="589"/>
      <c r="AQ15" s="594"/>
      <c r="AR15" s="589"/>
      <c r="AS15" s="594"/>
      <c r="AT15" s="589"/>
      <c r="AU15" s="594"/>
      <c r="AV15" s="589"/>
      <c r="AW15" s="594"/>
      <c r="AX15" s="589"/>
      <c r="AY15" s="594"/>
      <c r="AZ15" s="589"/>
      <c r="BA15" s="594"/>
      <c r="BB15" s="589"/>
      <c r="BC15" s="594"/>
      <c r="BE15" s="252"/>
      <c r="BF15" s="100">
        <v>8</v>
      </c>
      <c r="BG15" s="268" t="s">
        <v>462</v>
      </c>
      <c r="BH15" s="85" t="s">
        <v>444</v>
      </c>
      <c r="BI15" s="261" t="str">
        <f t="shared" si="20"/>
        <v>N/A</v>
      </c>
      <c r="BJ15" s="262" t="s">
        <v>448</v>
      </c>
      <c r="BK15" s="84" t="str">
        <f t="shared" si="21"/>
        <v>N/A</v>
      </c>
      <c r="BL15" s="249"/>
      <c r="BM15" s="82" t="str">
        <f t="shared" si="22"/>
        <v>N/A</v>
      </c>
      <c r="BN15" s="262"/>
      <c r="BO15" s="85" t="str">
        <f t="shared" si="0"/>
        <v>N/A</v>
      </c>
      <c r="BP15" s="249"/>
      <c r="BQ15" s="85" t="str">
        <f t="shared" si="1"/>
        <v>N/A</v>
      </c>
      <c r="BR15" s="249"/>
      <c r="BS15" s="85" t="str">
        <f t="shared" si="2"/>
        <v>N/A</v>
      </c>
      <c r="BT15" s="249"/>
      <c r="BU15" s="85" t="str">
        <f t="shared" si="3"/>
        <v>N/A</v>
      </c>
      <c r="BV15" s="249"/>
      <c r="BW15" s="85" t="str">
        <f t="shared" si="4"/>
        <v>N/A</v>
      </c>
      <c r="BX15" s="249"/>
      <c r="BY15" s="85" t="str">
        <f t="shared" si="5"/>
        <v>N/A</v>
      </c>
      <c r="BZ15" s="249"/>
      <c r="CA15" s="85" t="str">
        <f t="shared" si="6"/>
        <v>N/A</v>
      </c>
      <c r="CB15" s="249"/>
      <c r="CC15" s="85" t="str">
        <f t="shared" si="7"/>
        <v>N/A</v>
      </c>
      <c r="CD15" s="249"/>
      <c r="CE15" s="85" t="str">
        <f t="shared" si="8"/>
        <v>N/A</v>
      </c>
      <c r="CF15" s="249"/>
      <c r="CG15" s="82" t="str">
        <f t="shared" si="9"/>
        <v>N/A</v>
      </c>
      <c r="CH15" s="262"/>
      <c r="CI15" s="82" t="str">
        <f t="shared" si="10"/>
        <v>N/A</v>
      </c>
      <c r="CJ15" s="262"/>
      <c r="CK15" s="82" t="str">
        <f t="shared" si="11"/>
        <v>N/A</v>
      </c>
      <c r="CL15" s="262"/>
      <c r="CM15" s="82" t="str">
        <f t="shared" si="12"/>
        <v>N/A</v>
      </c>
      <c r="CN15" s="262"/>
      <c r="CO15" s="82" t="str">
        <f t="shared" si="13"/>
        <v>N/A</v>
      </c>
      <c r="CP15" s="262"/>
      <c r="CQ15" s="82" t="str">
        <f t="shared" si="14"/>
        <v>N/A</v>
      </c>
      <c r="CR15" s="262"/>
      <c r="CS15" s="82" t="str">
        <f t="shared" si="15"/>
        <v>N/A</v>
      </c>
      <c r="CT15" s="262"/>
      <c r="CU15" s="82" t="str">
        <f t="shared" si="16"/>
        <v>N/A</v>
      </c>
      <c r="CV15" s="262"/>
      <c r="CW15" s="82" t="str">
        <f t="shared" si="17"/>
        <v>N/A</v>
      </c>
      <c r="CX15" s="262"/>
      <c r="CY15" s="82" t="str">
        <f t="shared" si="18"/>
        <v>N/A</v>
      </c>
      <c r="CZ15" s="262"/>
      <c r="DA15" s="82" t="str">
        <f t="shared" si="19"/>
        <v>N/A</v>
      </c>
      <c r="DB15" s="262"/>
      <c r="DC15" s="82" t="str">
        <f t="shared" si="23"/>
        <v>N/A</v>
      </c>
      <c r="DE15" s="221">
        <v>31</v>
      </c>
      <c r="DF15" s="221" t="s">
        <v>13</v>
      </c>
      <c r="DG15" s="221">
        <v>38710</v>
      </c>
      <c r="DH15" s="221">
        <v>8115</v>
      </c>
      <c r="DI15" s="221">
        <v>19760</v>
      </c>
      <c r="DJ15" s="221">
        <v>34680</v>
      </c>
    </row>
    <row r="16" spans="1:114" s="251" customFormat="1" ht="27.75" customHeight="1">
      <c r="A16" s="234"/>
      <c r="B16" s="235">
        <v>128</v>
      </c>
      <c r="C16" s="269">
        <v>9</v>
      </c>
      <c r="D16" s="270" t="s">
        <v>226</v>
      </c>
      <c r="E16" s="269" t="s">
        <v>304</v>
      </c>
      <c r="F16" s="584"/>
      <c r="G16" s="595"/>
      <c r="H16" s="584"/>
      <c r="I16" s="595"/>
      <c r="J16" s="584"/>
      <c r="K16" s="595"/>
      <c r="L16" s="584"/>
      <c r="M16" s="595"/>
      <c r="N16" s="584"/>
      <c r="O16" s="595"/>
      <c r="P16" s="584"/>
      <c r="Q16" s="595"/>
      <c r="R16" s="584"/>
      <c r="S16" s="595"/>
      <c r="T16" s="584"/>
      <c r="U16" s="595"/>
      <c r="V16" s="584"/>
      <c r="W16" s="595"/>
      <c r="X16" s="584"/>
      <c r="Y16" s="595"/>
      <c r="Z16" s="584"/>
      <c r="AA16" s="595"/>
      <c r="AB16" s="584"/>
      <c r="AC16" s="595"/>
      <c r="AD16" s="584"/>
      <c r="AE16" s="595"/>
      <c r="AF16" s="584"/>
      <c r="AG16" s="595"/>
      <c r="AH16" s="584"/>
      <c r="AI16" s="595"/>
      <c r="AJ16" s="584"/>
      <c r="AK16" s="595"/>
      <c r="AL16" s="584"/>
      <c r="AM16" s="595"/>
      <c r="AN16" s="584"/>
      <c r="AO16" s="595"/>
      <c r="AP16" s="584"/>
      <c r="AQ16" s="595"/>
      <c r="AR16" s="584"/>
      <c r="AS16" s="595"/>
      <c r="AT16" s="584"/>
      <c r="AU16" s="595"/>
      <c r="AV16" s="584"/>
      <c r="AW16" s="595"/>
      <c r="AX16" s="584"/>
      <c r="AY16" s="595"/>
      <c r="AZ16" s="584"/>
      <c r="BA16" s="595"/>
      <c r="BB16" s="584"/>
      <c r="BC16" s="595"/>
      <c r="BE16" s="252"/>
      <c r="BF16" s="272">
        <v>9</v>
      </c>
      <c r="BG16" s="268" t="s">
        <v>449</v>
      </c>
      <c r="BH16" s="85" t="s">
        <v>444</v>
      </c>
      <c r="BI16" s="261" t="str">
        <f t="shared" si="20"/>
        <v>N/A</v>
      </c>
      <c r="BJ16" s="262" t="s">
        <v>448</v>
      </c>
      <c r="BK16" s="272" t="str">
        <f t="shared" si="21"/>
        <v>N/A</v>
      </c>
      <c r="BL16" s="266"/>
      <c r="BM16" s="82" t="str">
        <f t="shared" si="22"/>
        <v>N/A</v>
      </c>
      <c r="BN16" s="262"/>
      <c r="BO16" s="97" t="str">
        <f t="shared" si="0"/>
        <v>N/A</v>
      </c>
      <c r="BP16" s="266"/>
      <c r="BQ16" s="97" t="str">
        <f t="shared" si="1"/>
        <v>N/A</v>
      </c>
      <c r="BR16" s="266"/>
      <c r="BS16" s="97" t="str">
        <f t="shared" si="2"/>
        <v>N/A</v>
      </c>
      <c r="BT16" s="266"/>
      <c r="BU16" s="97" t="str">
        <f t="shared" si="3"/>
        <v>N/A</v>
      </c>
      <c r="BV16" s="266"/>
      <c r="BW16" s="97" t="str">
        <f t="shared" si="4"/>
        <v>N/A</v>
      </c>
      <c r="BX16" s="266"/>
      <c r="BY16" s="97" t="str">
        <f t="shared" si="5"/>
        <v>N/A</v>
      </c>
      <c r="BZ16" s="266"/>
      <c r="CA16" s="97" t="str">
        <f t="shared" si="6"/>
        <v>N/A</v>
      </c>
      <c r="CB16" s="266"/>
      <c r="CC16" s="97" t="str">
        <f t="shared" si="7"/>
        <v>N/A</v>
      </c>
      <c r="CD16" s="266"/>
      <c r="CE16" s="97" t="str">
        <f t="shared" si="8"/>
        <v>N/A</v>
      </c>
      <c r="CF16" s="266"/>
      <c r="CG16" s="82" t="str">
        <f t="shared" si="9"/>
        <v>N/A</v>
      </c>
      <c r="CH16" s="262"/>
      <c r="CI16" s="82" t="str">
        <f t="shared" si="10"/>
        <v>N/A</v>
      </c>
      <c r="CJ16" s="262"/>
      <c r="CK16" s="82" t="str">
        <f t="shared" si="11"/>
        <v>N/A</v>
      </c>
      <c r="CL16" s="262"/>
      <c r="CM16" s="82" t="str">
        <f>IF(OR(ISBLANK(AL16),ISBLANK(AJ16)),"N/A",IF(ABS((AL16-AJ16)/AJ16)&gt;0.25,"&gt; 25%","ok"))</f>
        <v>N/A</v>
      </c>
      <c r="CN16" s="262"/>
      <c r="CO16" s="82" t="str">
        <f t="shared" si="13"/>
        <v>N/A</v>
      </c>
      <c r="CP16" s="262"/>
      <c r="CQ16" s="82" t="str">
        <f t="shared" si="14"/>
        <v>N/A</v>
      </c>
      <c r="CR16" s="262"/>
      <c r="CS16" s="82" t="str">
        <f t="shared" si="15"/>
        <v>N/A</v>
      </c>
      <c r="CT16" s="262"/>
      <c r="CU16" s="82" t="str">
        <f t="shared" si="16"/>
        <v>N/A</v>
      </c>
      <c r="CV16" s="262"/>
      <c r="CW16" s="82" t="str">
        <f t="shared" si="17"/>
        <v>N/A</v>
      </c>
      <c r="CX16" s="262"/>
      <c r="CY16" s="82" t="str">
        <f t="shared" si="18"/>
        <v>N/A</v>
      </c>
      <c r="CZ16" s="262"/>
      <c r="DA16" s="82" t="str">
        <f t="shared" si="19"/>
        <v>N/A</v>
      </c>
      <c r="DB16" s="262"/>
      <c r="DC16" s="82" t="str">
        <f t="shared" si="23"/>
        <v>N/A</v>
      </c>
      <c r="DE16" s="221">
        <v>44</v>
      </c>
      <c r="DF16" s="221" t="s">
        <v>14</v>
      </c>
      <c r="DG16" s="221">
        <v>17930</v>
      </c>
      <c r="DH16" s="221">
        <v>700</v>
      </c>
      <c r="DI16" s="221">
        <v>0</v>
      </c>
      <c r="DJ16" s="221">
        <v>700</v>
      </c>
    </row>
    <row r="17" spans="1:114" s="245" customFormat="1" ht="6.75" customHeight="1">
      <c r="A17" s="179"/>
      <c r="B17" s="235"/>
      <c r="C17" s="273"/>
      <c r="D17" s="274"/>
      <c r="E17" s="273"/>
      <c r="G17" s="273"/>
      <c r="BD17" s="239"/>
      <c r="BE17" s="240"/>
      <c r="BF17" s="98"/>
      <c r="BG17" s="275"/>
      <c r="BH17" s="83"/>
      <c r="BI17" s="98"/>
      <c r="BJ17" s="276"/>
      <c r="BK17" s="98"/>
      <c r="BL17" s="276"/>
      <c r="BM17" s="83"/>
      <c r="BN17" s="276"/>
      <c r="BO17" s="276"/>
      <c r="BP17" s="276"/>
      <c r="BQ17" s="276"/>
      <c r="BR17" s="276"/>
      <c r="BS17" s="276"/>
      <c r="BT17" s="276"/>
      <c r="BU17" s="83"/>
      <c r="BV17" s="276"/>
      <c r="BW17" s="83"/>
      <c r="BX17" s="276"/>
      <c r="BY17" s="83"/>
      <c r="BZ17" s="276"/>
      <c r="CA17" s="83"/>
      <c r="CB17" s="276"/>
      <c r="CC17" s="83"/>
      <c r="CD17" s="276"/>
      <c r="CE17" s="83"/>
      <c r="CF17" s="276"/>
      <c r="CG17" s="83"/>
      <c r="CH17" s="276"/>
      <c r="CI17" s="83"/>
      <c r="CJ17" s="276"/>
      <c r="CK17" s="83"/>
      <c r="CL17" s="276"/>
      <c r="CM17" s="83"/>
      <c r="CN17" s="276"/>
      <c r="CO17" s="83"/>
      <c r="CP17" s="276"/>
      <c r="CQ17" s="83"/>
      <c r="CR17" s="276"/>
      <c r="CS17" s="83"/>
      <c r="CT17" s="276"/>
      <c r="CU17" s="83"/>
      <c r="CV17" s="276"/>
      <c r="CW17" s="83"/>
      <c r="CX17" s="276"/>
      <c r="CY17" s="83"/>
      <c r="CZ17" s="276"/>
      <c r="DA17" s="83"/>
      <c r="DB17" s="276"/>
      <c r="DC17" s="83"/>
      <c r="DD17" s="251"/>
      <c r="DE17" s="221">
        <v>48</v>
      </c>
      <c r="DF17" s="221" t="s">
        <v>15</v>
      </c>
      <c r="DG17" s="221">
        <v>64</v>
      </c>
      <c r="DH17" s="221">
        <v>4</v>
      </c>
      <c r="DI17" s="221">
        <v>0</v>
      </c>
      <c r="DJ17" s="221">
        <v>116</v>
      </c>
    </row>
    <row r="18" spans="47:114" ht="10.5" customHeight="1">
      <c r="AU18" s="282"/>
      <c r="AY18" s="282"/>
      <c r="DD18" s="245"/>
      <c r="DE18" s="221">
        <v>50</v>
      </c>
      <c r="DF18" s="221" t="s">
        <v>16</v>
      </c>
      <c r="DG18" s="221">
        <v>393600</v>
      </c>
      <c r="DH18" s="221">
        <v>105000</v>
      </c>
      <c r="DI18" s="221">
        <v>1122000</v>
      </c>
      <c r="DJ18" s="221">
        <v>1227000</v>
      </c>
    </row>
    <row r="19" spans="3:114" ht="15.75" customHeight="1">
      <c r="C19" s="283" t="s">
        <v>547</v>
      </c>
      <c r="D19" s="284"/>
      <c r="E19" s="285"/>
      <c r="F19" s="283"/>
      <c r="G19" s="286"/>
      <c r="H19" s="287"/>
      <c r="I19" s="288"/>
      <c r="J19" s="287"/>
      <c r="K19" s="288"/>
      <c r="L19" s="288"/>
      <c r="M19" s="288"/>
      <c r="N19" s="288"/>
      <c r="O19" s="288"/>
      <c r="P19" s="288"/>
      <c r="Q19" s="288"/>
      <c r="R19" s="287"/>
      <c r="S19" s="288"/>
      <c r="T19" s="287"/>
      <c r="U19" s="288"/>
      <c r="V19" s="287"/>
      <c r="W19" s="286"/>
      <c r="X19" s="287"/>
      <c r="Y19" s="286"/>
      <c r="Z19" s="287"/>
      <c r="AA19" s="286"/>
      <c r="AB19" s="287"/>
      <c r="AC19" s="286"/>
      <c r="AD19" s="287"/>
      <c r="AE19" s="286"/>
      <c r="AF19" s="287"/>
      <c r="AG19" s="286"/>
      <c r="AH19" s="287"/>
      <c r="AI19" s="288"/>
      <c r="AJ19" s="287"/>
      <c r="AK19" s="286"/>
      <c r="AL19" s="287"/>
      <c r="AM19" s="286"/>
      <c r="AN19" s="287"/>
      <c r="AO19" s="286"/>
      <c r="AP19" s="286"/>
      <c r="AQ19" s="286"/>
      <c r="AR19" s="286"/>
      <c r="AS19" s="286"/>
      <c r="AT19" s="287"/>
      <c r="AU19" s="201"/>
      <c r="AV19" s="190"/>
      <c r="AW19" s="190"/>
      <c r="AX19" s="287"/>
      <c r="AY19" s="201"/>
      <c r="AZ19" s="190"/>
      <c r="BA19" s="190"/>
      <c r="BB19" s="190"/>
      <c r="BC19" s="190"/>
      <c r="BF19" s="220" t="s">
        <v>569</v>
      </c>
      <c r="DE19" s="221">
        <v>52</v>
      </c>
      <c r="DF19" s="221" t="s">
        <v>17</v>
      </c>
      <c r="DG19" s="221">
        <v>611.5</v>
      </c>
      <c r="DH19" s="221">
        <v>80</v>
      </c>
      <c r="DI19" s="221">
        <v>0</v>
      </c>
      <c r="DJ19" s="221">
        <v>80</v>
      </c>
    </row>
    <row r="20" spans="3:114" ht="15" customHeight="1">
      <c r="C20" s="289" t="s">
        <v>466</v>
      </c>
      <c r="D20" s="788" t="s">
        <v>305</v>
      </c>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8"/>
      <c r="AK20" s="788"/>
      <c r="AL20" s="788"/>
      <c r="AM20" s="788"/>
      <c r="AN20" s="788"/>
      <c r="AO20" s="788"/>
      <c r="AP20" s="788"/>
      <c r="AQ20" s="788"/>
      <c r="AR20" s="788"/>
      <c r="AS20" s="788"/>
      <c r="AT20" s="788"/>
      <c r="AU20" s="788"/>
      <c r="AV20" s="788"/>
      <c r="AW20" s="788"/>
      <c r="AX20" s="788"/>
      <c r="AY20" s="788"/>
      <c r="AZ20" s="788"/>
      <c r="BA20" s="788"/>
      <c r="BB20" s="788"/>
      <c r="BC20" s="788"/>
      <c r="BF20" s="225" t="s">
        <v>545</v>
      </c>
      <c r="BG20" s="225" t="s">
        <v>546</v>
      </c>
      <c r="BH20" s="226" t="s">
        <v>548</v>
      </c>
      <c r="BI20" s="225" t="s">
        <v>3</v>
      </c>
      <c r="BJ20" s="227">
        <v>1990</v>
      </c>
      <c r="BK20" s="226">
        <v>1995</v>
      </c>
      <c r="BL20" s="227"/>
      <c r="BM20" s="226">
        <v>1996</v>
      </c>
      <c r="BN20" s="613"/>
      <c r="BO20" s="614">
        <v>1997</v>
      </c>
      <c r="BP20" s="613"/>
      <c r="BQ20" s="614">
        <v>1998</v>
      </c>
      <c r="BR20" s="613"/>
      <c r="BS20" s="614">
        <v>1999</v>
      </c>
      <c r="BT20" s="613"/>
      <c r="BU20" s="614">
        <v>2000</v>
      </c>
      <c r="BV20" s="613"/>
      <c r="BW20" s="614">
        <v>2001</v>
      </c>
      <c r="BX20" s="613"/>
      <c r="BY20" s="614">
        <v>2002</v>
      </c>
      <c r="BZ20" s="613"/>
      <c r="CA20" s="614">
        <v>2003</v>
      </c>
      <c r="CB20" s="613"/>
      <c r="CC20" s="614">
        <v>2004</v>
      </c>
      <c r="CD20" s="613"/>
      <c r="CE20" s="614">
        <v>2005</v>
      </c>
      <c r="CF20" s="613"/>
      <c r="CG20" s="614">
        <v>2006</v>
      </c>
      <c r="CH20" s="613"/>
      <c r="CI20" s="614">
        <v>2007</v>
      </c>
      <c r="CJ20" s="613"/>
      <c r="CK20" s="614">
        <v>2008</v>
      </c>
      <c r="CL20" s="613"/>
      <c r="CM20" s="614">
        <v>2009</v>
      </c>
      <c r="CN20" s="613"/>
      <c r="CO20" s="614">
        <v>2010</v>
      </c>
      <c r="CP20" s="613"/>
      <c r="CQ20" s="614">
        <v>2011</v>
      </c>
      <c r="CR20" s="613"/>
      <c r="CS20" s="614">
        <v>2012</v>
      </c>
      <c r="CT20" s="615"/>
      <c r="CU20" s="614">
        <v>2013</v>
      </c>
      <c r="CV20" s="613"/>
      <c r="CW20" s="614">
        <v>2014</v>
      </c>
      <c r="CX20" s="613"/>
      <c r="CY20" s="614">
        <v>2015</v>
      </c>
      <c r="CZ20" s="613"/>
      <c r="DA20" s="614">
        <v>2016</v>
      </c>
      <c r="DB20" s="613"/>
      <c r="DC20" s="614">
        <v>2017</v>
      </c>
      <c r="DE20" s="221">
        <v>112</v>
      </c>
      <c r="DF20" s="221" t="s">
        <v>18</v>
      </c>
      <c r="DG20" s="221">
        <v>128300.00000000001</v>
      </c>
      <c r="DH20" s="221">
        <v>34000</v>
      </c>
      <c r="DI20" s="221">
        <v>23900</v>
      </c>
      <c r="DJ20" s="221">
        <v>57900</v>
      </c>
    </row>
    <row r="21" spans="1:116" ht="15" customHeight="1">
      <c r="A21" s="291"/>
      <c r="C21" s="289" t="s">
        <v>466</v>
      </c>
      <c r="D21" s="788" t="s">
        <v>306</v>
      </c>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8"/>
      <c r="AY21" s="788"/>
      <c r="AZ21" s="788"/>
      <c r="BA21" s="788"/>
      <c r="BB21" s="788"/>
      <c r="BC21" s="788"/>
      <c r="BF21" s="100">
        <v>3</v>
      </c>
      <c r="BG21" s="248" t="s">
        <v>402</v>
      </c>
      <c r="BH21" s="84" t="s">
        <v>444</v>
      </c>
      <c r="BI21" s="84">
        <f>F10</f>
        <v>0</v>
      </c>
      <c r="BJ21" s="84">
        <f>H10</f>
        <v>0</v>
      </c>
      <c r="BK21" s="84">
        <f>J10</f>
        <v>0</v>
      </c>
      <c r="BL21" s="84"/>
      <c r="BM21" s="84">
        <f>L10</f>
        <v>0</v>
      </c>
      <c r="BN21" s="84"/>
      <c r="BO21" s="84">
        <f>N10</f>
        <v>0</v>
      </c>
      <c r="BP21" s="84"/>
      <c r="BQ21" s="84">
        <f>P10</f>
        <v>0</v>
      </c>
      <c r="BR21" s="84"/>
      <c r="BS21" s="84">
        <f>R10</f>
        <v>0</v>
      </c>
      <c r="BT21" s="84"/>
      <c r="BU21" s="84">
        <f>T10</f>
        <v>0</v>
      </c>
      <c r="BV21" s="84"/>
      <c r="BW21" s="84">
        <f>V10</f>
        <v>0</v>
      </c>
      <c r="BX21" s="84"/>
      <c r="BY21" s="84">
        <f>X10</f>
        <v>0</v>
      </c>
      <c r="BZ21" s="84"/>
      <c r="CA21" s="84">
        <f>Z10</f>
        <v>0</v>
      </c>
      <c r="CB21" s="84"/>
      <c r="CC21" s="84">
        <f>AB10</f>
        <v>0</v>
      </c>
      <c r="CD21" s="84"/>
      <c r="CE21" s="84">
        <f>AD10</f>
        <v>0</v>
      </c>
      <c r="CF21" s="84"/>
      <c r="CG21" s="84">
        <f>AF10</f>
        <v>0</v>
      </c>
      <c r="CH21" s="84"/>
      <c r="CI21" s="84">
        <f>AH10</f>
        <v>0</v>
      </c>
      <c r="CJ21" s="84"/>
      <c r="CK21" s="84">
        <f>AJ10</f>
        <v>0</v>
      </c>
      <c r="CL21" s="84"/>
      <c r="CM21" s="84">
        <f>AL10</f>
        <v>0</v>
      </c>
      <c r="CN21" s="84"/>
      <c r="CO21" s="84">
        <f>AN10</f>
        <v>0</v>
      </c>
      <c r="CP21" s="84"/>
      <c r="CQ21" s="84">
        <f>AP10</f>
        <v>0</v>
      </c>
      <c r="CR21" s="84"/>
      <c r="CS21" s="84">
        <f>AR10</f>
        <v>0</v>
      </c>
      <c r="CT21" s="84"/>
      <c r="CU21" s="84">
        <f>AT10</f>
        <v>0</v>
      </c>
      <c r="CV21" s="249"/>
      <c r="CW21" s="84">
        <f>AV10</f>
        <v>0</v>
      </c>
      <c r="CX21" s="84"/>
      <c r="CY21" s="84">
        <f>AX10</f>
        <v>0</v>
      </c>
      <c r="CZ21" s="249"/>
      <c r="DA21" s="84">
        <f>AZ10</f>
        <v>0</v>
      </c>
      <c r="DB21" s="84"/>
      <c r="DC21" s="84">
        <f>BB10</f>
        <v>0</v>
      </c>
      <c r="DE21" s="221">
        <v>84</v>
      </c>
      <c r="DF21" s="221" t="s">
        <v>19</v>
      </c>
      <c r="DG21" s="221">
        <v>39160</v>
      </c>
      <c r="DH21" s="221">
        <v>15260</v>
      </c>
      <c r="DI21" s="221">
        <v>6042</v>
      </c>
      <c r="DJ21" s="221">
        <v>21730</v>
      </c>
      <c r="DK21" s="292"/>
      <c r="DL21" s="292"/>
    </row>
    <row r="22" spans="1:116" ht="13.5" customHeight="1">
      <c r="A22" s="291"/>
      <c r="B22" s="291"/>
      <c r="C22" s="289" t="s">
        <v>466</v>
      </c>
      <c r="D22" s="782" t="s">
        <v>185</v>
      </c>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782"/>
      <c r="AX22" s="782"/>
      <c r="AY22" s="782"/>
      <c r="AZ22" s="782"/>
      <c r="BA22" s="782"/>
      <c r="BB22" s="782"/>
      <c r="BC22" s="782"/>
      <c r="BD22" s="294"/>
      <c r="BE22" s="295"/>
      <c r="BF22" s="296">
        <v>10</v>
      </c>
      <c r="BG22" s="297" t="s">
        <v>416</v>
      </c>
      <c r="BH22" s="84" t="s">
        <v>444</v>
      </c>
      <c r="BI22" s="84">
        <f>(F8-F9)</f>
        <v>0</v>
      </c>
      <c r="BJ22" s="84">
        <f>(H8-H9)</f>
        <v>0</v>
      </c>
      <c r="BK22" s="84">
        <f>(J8-J9)</f>
        <v>0</v>
      </c>
      <c r="BL22" s="84"/>
      <c r="BM22" s="84">
        <f>(L8-L9)</f>
        <v>0</v>
      </c>
      <c r="BN22" s="84"/>
      <c r="BO22" s="84">
        <f>(N8-N9)</f>
        <v>0</v>
      </c>
      <c r="BP22" s="84"/>
      <c r="BQ22" s="84">
        <f>(P8-P9)</f>
        <v>0</v>
      </c>
      <c r="BR22" s="84"/>
      <c r="BS22" s="84">
        <f>(R8-R9)</f>
        <v>0</v>
      </c>
      <c r="BT22" s="84"/>
      <c r="BU22" s="84">
        <f>(T8-T9)</f>
        <v>0</v>
      </c>
      <c r="BV22" s="84"/>
      <c r="BW22" s="84">
        <f>(V8-V9)</f>
        <v>0</v>
      </c>
      <c r="BX22" s="84"/>
      <c r="BY22" s="84">
        <f>(X8-X9)</f>
        <v>0</v>
      </c>
      <c r="BZ22" s="84"/>
      <c r="CA22" s="84">
        <f>(Z8-Z9)</f>
        <v>0</v>
      </c>
      <c r="CB22" s="84"/>
      <c r="CC22" s="84">
        <f>(AB8-AB9)</f>
        <v>0</v>
      </c>
      <c r="CD22" s="84"/>
      <c r="CE22" s="84">
        <f>(AD8-AD9)</f>
        <v>0</v>
      </c>
      <c r="CF22" s="84"/>
      <c r="CG22" s="84">
        <f>(AF8-AF9)</f>
        <v>0</v>
      </c>
      <c r="CH22" s="84"/>
      <c r="CI22" s="84">
        <f>(AH8-AH9)</f>
        <v>0</v>
      </c>
      <c r="CJ22" s="84"/>
      <c r="CK22" s="84">
        <f>(AJ8-AJ9)</f>
        <v>0</v>
      </c>
      <c r="CL22" s="84"/>
      <c r="CM22" s="84">
        <f>(AL8-AL9)</f>
        <v>0</v>
      </c>
      <c r="CN22" s="84"/>
      <c r="CO22" s="84">
        <f>(AN8-AN9)</f>
        <v>0</v>
      </c>
      <c r="CP22" s="84"/>
      <c r="CQ22" s="84">
        <f>(AP8-AP9)</f>
        <v>0</v>
      </c>
      <c r="CR22" s="84"/>
      <c r="CS22" s="84">
        <f>(AR8-AR9)</f>
        <v>766.37</v>
      </c>
      <c r="CT22" s="84"/>
      <c r="CU22" s="84">
        <f>(AT8-AT9)</f>
        <v>840.2</v>
      </c>
      <c r="CV22" s="249"/>
      <c r="CW22" s="84">
        <f>(AV8-AV9)</f>
        <v>711.19</v>
      </c>
      <c r="CX22" s="84"/>
      <c r="CY22" s="84">
        <f>(AX8-AX9)</f>
        <v>789.37</v>
      </c>
      <c r="CZ22" s="249"/>
      <c r="DA22" s="84">
        <f>(AZ8-AZ9)</f>
        <v>1199.76</v>
      </c>
      <c r="DB22" s="84"/>
      <c r="DC22" s="84">
        <f>(BB8-BB9)</f>
        <v>1110.33</v>
      </c>
      <c r="DD22" s="292"/>
      <c r="DE22" s="221">
        <v>204</v>
      </c>
      <c r="DF22" s="221" t="s">
        <v>20</v>
      </c>
      <c r="DG22" s="221">
        <v>119200</v>
      </c>
      <c r="DH22" s="221">
        <v>10300</v>
      </c>
      <c r="DI22" s="221">
        <v>0</v>
      </c>
      <c r="DJ22" s="221">
        <v>26390</v>
      </c>
      <c r="DK22" s="292"/>
      <c r="DL22" s="292"/>
    </row>
    <row r="23" spans="1:116" ht="13.5" customHeight="1">
      <c r="A23" s="291"/>
      <c r="B23" s="291"/>
      <c r="C23" s="289" t="s">
        <v>466</v>
      </c>
      <c r="D23" s="788" t="s">
        <v>307</v>
      </c>
      <c r="E23" s="788"/>
      <c r="F23" s="788"/>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788"/>
      <c r="AE23" s="788"/>
      <c r="AF23" s="788"/>
      <c r="AG23" s="788"/>
      <c r="AH23" s="788"/>
      <c r="AI23" s="788"/>
      <c r="AJ23" s="788"/>
      <c r="AK23" s="788"/>
      <c r="AL23" s="788"/>
      <c r="AM23" s="788"/>
      <c r="AN23" s="788"/>
      <c r="AO23" s="788"/>
      <c r="AP23" s="788"/>
      <c r="AQ23" s="788"/>
      <c r="AR23" s="788"/>
      <c r="AS23" s="788"/>
      <c r="AT23" s="788"/>
      <c r="AU23" s="788"/>
      <c r="AV23" s="788"/>
      <c r="AW23" s="788"/>
      <c r="AX23" s="788"/>
      <c r="AY23" s="788"/>
      <c r="AZ23" s="788"/>
      <c r="BA23" s="788"/>
      <c r="BB23" s="788"/>
      <c r="BC23" s="788"/>
      <c r="BD23" s="298"/>
      <c r="BE23" s="299"/>
      <c r="BF23" s="300" t="s">
        <v>469</v>
      </c>
      <c r="BG23" s="297" t="s">
        <v>520</v>
      </c>
      <c r="BH23" s="84"/>
      <c r="BI23" s="84" t="str">
        <f>IF(OR(ISBLANK(F8),ISBLANK(F9),ISBLANK(F10)),"N/A",IF((BI21=BI22),"ok","&lt;&gt;"))</f>
        <v>N/A</v>
      </c>
      <c r="BJ23" s="84" t="str">
        <f>IF(OR(ISBLANK(H8),ISBLANK(H9),ISBLANK(H10)),"N/A",IF((BJ21=BJ22),"ok","&lt;&gt;"))</f>
        <v>N/A</v>
      </c>
      <c r="BK23" s="84" t="str">
        <f>IF(OR(ISBLANK(P8),ISBLANK(P9),ISBLANK(P10)),"N/A",IF((BK21=BK22),"ok","&lt;&gt;"))</f>
        <v>N/A</v>
      </c>
      <c r="BL23" s="84"/>
      <c r="BM23" s="84" t="str">
        <f>IF(OR(ISBLANK(L8),ISBLANK(L9),ISBLANK(L10)),"N/A",IF((BM21=BM22),"ok","&lt;&gt;"))</f>
        <v>N/A</v>
      </c>
      <c r="BN23" s="84"/>
      <c r="BO23" s="84" t="str">
        <f>IF(OR(ISBLANK(Q8),ISBLANK(Q9),ISBLANK(Q10)),"N/A",IF((BO21=BO22),"ok","&lt;&gt;"))</f>
        <v>N/A</v>
      </c>
      <c r="BP23" s="84"/>
      <c r="BQ23" s="84" t="str">
        <f>IF(OR(ISBLANK(S8),ISBLANK(S9),ISBLANK(S10)),"N/A",IF((BQ21=BQ22),"ok","&lt;&gt;"))</f>
        <v>N/A</v>
      </c>
      <c r="BR23" s="84"/>
      <c r="BS23" s="84" t="str">
        <f>IF(OR(ISBLANK(R8),ISBLANK(R9),ISBLANK(R10)),"N/A",IF((BS21=BS22),"ok","&lt;&gt;"))</f>
        <v>N/A</v>
      </c>
      <c r="BT23" s="84"/>
      <c r="BU23" s="84" t="str">
        <f>IF(OR(ISBLANK(T8),ISBLANK(T9),ISBLANK(T10)),"N/A",IF((BU21=BU22),"ok","&lt;&gt;"))</f>
        <v>N/A</v>
      </c>
      <c r="BV23" s="84"/>
      <c r="BW23" s="84" t="str">
        <f>IF(OR(ISBLANK(V8),ISBLANK(V9),ISBLANK(V10)),"N/A",IF((BW21=BW22),"ok","&lt;&gt;"))</f>
        <v>N/A</v>
      </c>
      <c r="BX23" s="84"/>
      <c r="BY23" s="84" t="str">
        <f>IF(OR(ISBLANK(X8),ISBLANK(X9),ISBLANK(X10)),"N/A",IF((BY21=BY22),"ok","&lt;&gt;"))</f>
        <v>N/A</v>
      </c>
      <c r="BZ23" s="84"/>
      <c r="CA23" s="84" t="str">
        <f>IF(OR(ISBLANK(Z8),ISBLANK(Z9),ISBLANK(Z10)),"N/A",IF((CA21=CA22),"ok","&lt;&gt;"))</f>
        <v>N/A</v>
      </c>
      <c r="CB23" s="84"/>
      <c r="CC23" s="84" t="str">
        <f>IF(OR(ISBLANK(AB8),ISBLANK(AB9),ISBLANK(AB10)),"N/A",IF((CC21=CC22),"ok","&lt;&gt;"))</f>
        <v>N/A</v>
      </c>
      <c r="CD23" s="84"/>
      <c r="CE23" s="84" t="str">
        <f>IF(OR(ISBLANK(AD8),ISBLANK(AD9),ISBLANK(AD10)),"N/A",IF((CE21=CE22),"ok","&lt;&gt;"))</f>
        <v>N/A</v>
      </c>
      <c r="CF23" s="84"/>
      <c r="CG23" s="84" t="str">
        <f>IF(OR(ISBLANK(AF8),ISBLANK(AF9),ISBLANK(AF10)),"N/A",IF((CG21=CG22),"ok","&lt;&gt;"))</f>
        <v>N/A</v>
      </c>
      <c r="CH23" s="84"/>
      <c r="CI23" s="84" t="str">
        <f>IF(OR(ISBLANK(AH8),ISBLANK(AH9),ISBLANK(AH10)),"N/A",IF((CI21=CI22),"ok","&lt;&gt;"))</f>
        <v>N/A</v>
      </c>
      <c r="CJ23" s="84"/>
      <c r="CK23" s="84" t="str">
        <f>IF(OR(ISBLANK(AJ8),ISBLANK(AJ9),ISBLANK(AJ10)),"N/A",IF((CK21=CK22),"ok","&lt;&gt;"))</f>
        <v>N/A</v>
      </c>
      <c r="CL23" s="84"/>
      <c r="CM23" s="84" t="str">
        <f>IF(OR(ISBLANK(AL8),ISBLANK(AL9),ISBLANK(AL10)),"N/A",IF((CM21=CM22),"ok","&lt;&gt;"))</f>
        <v>N/A</v>
      </c>
      <c r="CN23" s="84"/>
      <c r="CO23" s="84" t="str">
        <f>IF(OR(ISBLANK(AN8),ISBLANK(AN9),ISBLANK(AN10)),"N/A",IF((CO21=CO22),"ok","&lt;&gt;"))</f>
        <v>N/A</v>
      </c>
      <c r="CP23" s="84"/>
      <c r="CQ23" s="84" t="str">
        <f>IF(OR(ISBLANK(AP8),ISBLANK(AP9),ISBLANK(AP10)),"N/A",IF((CQ21=CQ22),"ok","&lt;&gt;"))</f>
        <v>N/A</v>
      </c>
      <c r="CR23" s="84"/>
      <c r="CS23" s="84" t="str">
        <f>IF(OR(ISBLANK(AR8),ISBLANK(AR9),ISBLANK(AR10)),"N/A",IF((CS21=CS22),"ok","&lt;&gt;"))</f>
        <v>N/A</v>
      </c>
      <c r="CT23" s="84"/>
      <c r="CU23" s="84" t="str">
        <f>IF(OR(ISBLANK(AT8),ISBLANK(AT9),ISBLANK(AT10)),"N/A",IF((CU21=CU22),"ok","&lt;&gt;"))</f>
        <v>N/A</v>
      </c>
      <c r="CV23" s="249"/>
      <c r="CW23" s="84" t="str">
        <f>IF(OR(ISBLANK(AV8),ISBLANK(AV9),ISBLANK(AV10)),"N/A",IF((CW21=CW22),"ok","&lt;&gt;"))</f>
        <v>N/A</v>
      </c>
      <c r="CX23" s="84"/>
      <c r="CY23" s="84" t="str">
        <f>IF(OR(ISBLANK(AX8),ISBLANK(AX9),ISBLANK(AX10)),"N/A",IF((CY21=CY22),"ok","&lt;&gt;"))</f>
        <v>N/A</v>
      </c>
      <c r="CZ23" s="249"/>
      <c r="DA23" s="84" t="str">
        <f>IF(OR(ISBLANK(AZ8),ISBLANK(AZ9),ISBLANK(AZ10)),"N/A",IF((DA21=DA22),"ok","&lt;&gt;"))</f>
        <v>N/A</v>
      </c>
      <c r="DB23" s="84"/>
      <c r="DC23" s="84" t="str">
        <f>IF(OR(ISBLANK(BB8),ISBLANK(BB9),ISBLANK(BB10)),"N/A",IF((DC21=DC22),"ok","&lt;&gt;"))</f>
        <v>N/A</v>
      </c>
      <c r="DD23" s="292"/>
      <c r="DE23" s="221">
        <v>60</v>
      </c>
      <c r="DF23" s="221" t="s">
        <v>21</v>
      </c>
      <c r="DG23" s="221"/>
      <c r="DH23" s="221"/>
      <c r="DI23" s="221"/>
      <c r="DJ23" s="221"/>
      <c r="DK23" s="292"/>
      <c r="DL23" s="292"/>
    </row>
    <row r="24" spans="1:116" ht="24" customHeight="1">
      <c r="A24" s="291"/>
      <c r="B24" s="291"/>
      <c r="C24" s="289"/>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782"/>
      <c r="BA24" s="782"/>
      <c r="BB24" s="782"/>
      <c r="BC24" s="782"/>
      <c r="BD24" s="294"/>
      <c r="BE24" s="295"/>
      <c r="BF24" s="100">
        <v>5</v>
      </c>
      <c r="BG24" s="258" t="s">
        <v>401</v>
      </c>
      <c r="BH24" s="84" t="s">
        <v>444</v>
      </c>
      <c r="BI24" s="84">
        <f>F12</f>
        <v>0</v>
      </c>
      <c r="BJ24" s="84">
        <f>H12</f>
        <v>0</v>
      </c>
      <c r="BK24" s="84">
        <f>P12</f>
        <v>0</v>
      </c>
      <c r="BL24" s="84"/>
      <c r="BM24" s="84">
        <f>L12</f>
        <v>0</v>
      </c>
      <c r="BN24" s="84"/>
      <c r="BO24" s="84">
        <f>Q12</f>
        <v>0</v>
      </c>
      <c r="BP24" s="84"/>
      <c r="BQ24" s="84">
        <f>S12</f>
        <v>0</v>
      </c>
      <c r="BR24" s="84"/>
      <c r="BS24" s="84">
        <f>R12</f>
        <v>0</v>
      </c>
      <c r="BT24" s="84"/>
      <c r="BU24" s="84">
        <f>T12</f>
        <v>0</v>
      </c>
      <c r="BV24" s="84"/>
      <c r="BW24" s="84">
        <f>V12</f>
        <v>0</v>
      </c>
      <c r="BX24" s="84"/>
      <c r="BY24" s="84">
        <f>X12</f>
        <v>0</v>
      </c>
      <c r="BZ24" s="84"/>
      <c r="CA24" s="84">
        <f>Z12</f>
        <v>0</v>
      </c>
      <c r="CB24" s="84"/>
      <c r="CC24" s="84">
        <f>AB12</f>
        <v>0</v>
      </c>
      <c r="CD24" s="84"/>
      <c r="CE24" s="84">
        <f>AD12</f>
        <v>0</v>
      </c>
      <c r="CF24" s="84"/>
      <c r="CG24" s="84">
        <f>AF12</f>
        <v>0</v>
      </c>
      <c r="CH24" s="84"/>
      <c r="CI24" s="84">
        <f>AH12</f>
        <v>0</v>
      </c>
      <c r="CJ24" s="84"/>
      <c r="CK24" s="84">
        <f>AJ12</f>
        <v>0</v>
      </c>
      <c r="CL24" s="84"/>
      <c r="CM24" s="84">
        <f>AL12</f>
        <v>0</v>
      </c>
      <c r="CN24" s="84"/>
      <c r="CO24" s="84">
        <f>AN12</f>
        <v>0</v>
      </c>
      <c r="CP24" s="84"/>
      <c r="CQ24" s="84">
        <f>AP12</f>
        <v>0</v>
      </c>
      <c r="CR24" s="84"/>
      <c r="CS24" s="84">
        <f>AR12</f>
        <v>0</v>
      </c>
      <c r="CT24" s="84"/>
      <c r="CU24" s="84">
        <f>AT12</f>
        <v>0</v>
      </c>
      <c r="CV24" s="616"/>
      <c r="CW24" s="84">
        <f>AV12</f>
        <v>0</v>
      </c>
      <c r="CX24" s="84"/>
      <c r="CY24" s="84">
        <f>AX12</f>
        <v>0</v>
      </c>
      <c r="CZ24" s="616"/>
      <c r="DA24" s="84">
        <f>AZ12</f>
        <v>0</v>
      </c>
      <c r="DB24" s="84"/>
      <c r="DC24" s="84">
        <f>BB12</f>
        <v>0</v>
      </c>
      <c r="DD24" s="292"/>
      <c r="DE24" s="221">
        <v>64</v>
      </c>
      <c r="DF24" s="221" t="s">
        <v>22</v>
      </c>
      <c r="DG24" s="221">
        <v>84460</v>
      </c>
      <c r="DH24" s="221">
        <v>78000</v>
      </c>
      <c r="DI24" s="221">
        <v>0</v>
      </c>
      <c r="DJ24" s="221">
        <v>78000</v>
      </c>
      <c r="DK24" s="292"/>
      <c r="DL24" s="292"/>
    </row>
    <row r="25" spans="1:116" ht="13.5" customHeight="1">
      <c r="A25" s="291"/>
      <c r="B25" s="291"/>
      <c r="C25" s="289"/>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294"/>
      <c r="BE25" s="295"/>
      <c r="BF25" s="296">
        <v>11</v>
      </c>
      <c r="BG25" s="297" t="s">
        <v>417</v>
      </c>
      <c r="BH25" s="84" t="s">
        <v>444</v>
      </c>
      <c r="BI25" s="84">
        <f>F10+F11</f>
        <v>0</v>
      </c>
      <c r="BJ25" s="84">
        <f>H10+H11</f>
        <v>0</v>
      </c>
      <c r="BK25" s="84">
        <f>P10+P11</f>
        <v>0</v>
      </c>
      <c r="BL25" s="84"/>
      <c r="BM25" s="84">
        <f>L10+L11</f>
        <v>0</v>
      </c>
      <c r="BN25" s="84"/>
      <c r="BO25" s="84">
        <f>Q10+Q11</f>
        <v>0</v>
      </c>
      <c r="BP25" s="84"/>
      <c r="BQ25" s="84">
        <f>S10+S11</f>
        <v>0</v>
      </c>
      <c r="BR25" s="84"/>
      <c r="BS25" s="84">
        <f>R10+R11</f>
        <v>0</v>
      </c>
      <c r="BT25" s="84"/>
      <c r="BU25" s="84">
        <f>T10+T11</f>
        <v>0</v>
      </c>
      <c r="BV25" s="84"/>
      <c r="BW25" s="84">
        <f>V10+V11</f>
        <v>0</v>
      </c>
      <c r="BX25" s="84"/>
      <c r="BY25" s="84">
        <f>X10+X11</f>
        <v>0</v>
      </c>
      <c r="BZ25" s="85"/>
      <c r="CA25" s="84">
        <f>Z10+Z11</f>
        <v>0</v>
      </c>
      <c r="CB25" s="84"/>
      <c r="CC25" s="84">
        <f>AB10+AB11</f>
        <v>0</v>
      </c>
      <c r="CD25" s="84"/>
      <c r="CE25" s="84">
        <f>AD10+AD11</f>
        <v>0</v>
      </c>
      <c r="CF25" s="84"/>
      <c r="CG25" s="84">
        <f>AF10+AF11</f>
        <v>0</v>
      </c>
      <c r="CH25" s="84"/>
      <c r="CI25" s="84">
        <f>AH10+AH11</f>
        <v>0</v>
      </c>
      <c r="CJ25" s="84"/>
      <c r="CK25" s="84">
        <f>AJ10+AJ11</f>
        <v>0</v>
      </c>
      <c r="CL25" s="84"/>
      <c r="CM25" s="84">
        <f>AL10+AL11</f>
        <v>0</v>
      </c>
      <c r="CN25" s="84"/>
      <c r="CO25" s="84">
        <f>AN10+AN11</f>
        <v>0</v>
      </c>
      <c r="CP25" s="84"/>
      <c r="CQ25" s="84">
        <f>AP10+AP11</f>
        <v>0</v>
      </c>
      <c r="CR25" s="84"/>
      <c r="CS25" s="84">
        <f>AR10+AR11</f>
        <v>0</v>
      </c>
      <c r="CT25" s="84"/>
      <c r="CU25" s="84">
        <f>AT10+AT11</f>
        <v>0</v>
      </c>
      <c r="CV25" s="84"/>
      <c r="CW25" s="84">
        <f>AV10+AV11</f>
        <v>0</v>
      </c>
      <c r="CX25" s="84"/>
      <c r="CY25" s="84">
        <f>AX10+AX11</f>
        <v>0</v>
      </c>
      <c r="CZ25" s="84"/>
      <c r="DA25" s="84">
        <f>AZ10+AZ11</f>
        <v>0</v>
      </c>
      <c r="DB25" s="84"/>
      <c r="DC25" s="84">
        <f>BB10+BB11</f>
        <v>0</v>
      </c>
      <c r="DD25" s="292"/>
      <c r="DE25" s="221">
        <v>68</v>
      </c>
      <c r="DF25" s="221" t="s">
        <v>141</v>
      </c>
      <c r="DG25" s="221">
        <v>1259000</v>
      </c>
      <c r="DH25" s="221">
        <v>303500</v>
      </c>
      <c r="DI25" s="221">
        <v>259000</v>
      </c>
      <c r="DJ25" s="221">
        <v>574000</v>
      </c>
      <c r="DK25" s="292"/>
      <c r="DL25" s="292"/>
    </row>
    <row r="26" spans="1:116" ht="22.5" customHeight="1">
      <c r="A26" s="291"/>
      <c r="B26" s="291"/>
      <c r="F26" s="774" t="str">
        <f>D8&amp;" (W1, 1)"</f>
        <v>Précipitations (W1, 1)</v>
      </c>
      <c r="G26" s="775"/>
      <c r="H26" s="775"/>
      <c r="I26" s="776"/>
      <c r="J26" s="304"/>
      <c r="K26" s="304"/>
      <c r="L26" s="304"/>
      <c r="M26" s="774" t="str">
        <f>D9&amp;"
(W1, 2)"</f>
        <v>Évapotranspiration réelle
(W1, 2)</v>
      </c>
      <c r="N26" s="777"/>
      <c r="O26" s="777"/>
      <c r="P26" s="777"/>
      <c r="Q26" s="778"/>
      <c r="R26" s="304"/>
      <c r="S26" s="304"/>
      <c r="T26" s="304"/>
      <c r="U26" s="304"/>
      <c r="V26" s="304"/>
      <c r="W26" s="304"/>
      <c r="X26" s="304"/>
      <c r="Y26" s="304"/>
      <c r="Z26" s="304"/>
      <c r="AA26" s="303"/>
      <c r="AB26" s="791"/>
      <c r="AC26" s="791"/>
      <c r="AD26" s="791"/>
      <c r="AE26" s="791"/>
      <c r="AF26" s="305"/>
      <c r="AG26" s="305"/>
      <c r="AH26" s="305"/>
      <c r="AI26" s="305"/>
      <c r="AJ26" s="791"/>
      <c r="AK26" s="793"/>
      <c r="AL26" s="793"/>
      <c r="AM26" s="793"/>
      <c r="AN26" s="793"/>
      <c r="AO26" s="301"/>
      <c r="AP26" s="301"/>
      <c r="AQ26" s="301"/>
      <c r="AR26" s="301"/>
      <c r="AS26" s="301"/>
      <c r="AT26" s="301"/>
      <c r="AU26" s="301"/>
      <c r="AV26" s="301"/>
      <c r="AW26" s="301"/>
      <c r="AX26" s="301"/>
      <c r="AY26" s="301"/>
      <c r="AZ26" s="301"/>
      <c r="BA26" s="301"/>
      <c r="BB26" s="301"/>
      <c r="BC26" s="301"/>
      <c r="BD26" s="294"/>
      <c r="BE26" s="295"/>
      <c r="BF26" s="300" t="s">
        <v>469</v>
      </c>
      <c r="BG26" s="297" t="s">
        <v>521</v>
      </c>
      <c r="BH26" s="84"/>
      <c r="BI26" s="84" t="str">
        <f>IF(OR(ISBLANK(F10),ISBLANK(F11)),"N/A",IF((BI24=BI25),"ok","&lt;&gt;"))</f>
        <v>N/A</v>
      </c>
      <c r="BJ26" s="84" t="str">
        <f>IF(OR(ISBLANK(H10),ISBLANK(H11)),"N/A",IF((BJ24=BJ25),"ok","&lt;&gt;"))</f>
        <v>N/A</v>
      </c>
      <c r="BK26" s="84" t="str">
        <f>IF(OR(ISBLANK(P10),ISBLANK(P11)),"N/A",IF((BK24=BK25),"ok","&lt;&gt;"))</f>
        <v>N/A</v>
      </c>
      <c r="BL26" s="84"/>
      <c r="BM26" s="84" t="str">
        <f>IF(OR(ISBLANK(L10),ISBLANK(L11)),"N/A",IF((BM24=BM25),"ok","&lt;&gt;"))</f>
        <v>N/A</v>
      </c>
      <c r="BN26" s="84"/>
      <c r="BO26" s="84" t="str">
        <f>IF(OR(ISBLANK(Q10),ISBLANK(Q11)),"N/A",IF((BO24=BO25),"ok","&lt;&gt;"))</f>
        <v>N/A</v>
      </c>
      <c r="BP26" s="84"/>
      <c r="BQ26" s="84" t="str">
        <f>IF(OR(ISBLANK(S10),ISBLANK(S11)),"N/A",IF((BQ24=BQ25),"ok","&lt;&gt;"))</f>
        <v>N/A</v>
      </c>
      <c r="BR26" s="84"/>
      <c r="BS26" s="84" t="str">
        <f>IF(OR(ISBLANK(R10),ISBLANK(R11)),"N/A",IF((BS24=BS25),"ok","&lt;&gt;"))</f>
        <v>N/A</v>
      </c>
      <c r="BT26" s="84"/>
      <c r="BU26" s="84" t="str">
        <f>IF(OR(ISBLANK(T10),ISBLANK(T11)),"N/A",IF((BU24=BU25),"ok","&lt;&gt;"))</f>
        <v>N/A</v>
      </c>
      <c r="BV26" s="84"/>
      <c r="BW26" s="84" t="str">
        <f>IF(OR(ISBLANK(V10),ISBLANK(V11)),"N/A",IF((BW24=BW25),"ok","&lt;&gt;"))</f>
        <v>N/A</v>
      </c>
      <c r="BX26" s="84"/>
      <c r="BY26" s="84" t="str">
        <f>IF(OR(ISBLANK(X10),ISBLANK(X11)),"N/A",IF((BY24=BY25),"ok","&lt;&gt;"))</f>
        <v>N/A</v>
      </c>
      <c r="BZ26" s="84"/>
      <c r="CA26" s="84" t="str">
        <f>IF(OR(ISBLANK(Z10),ISBLANK(Z11)),"N/A",IF((CA24=CA25),"ok","&lt;&gt;"))</f>
        <v>N/A</v>
      </c>
      <c r="CB26" s="84"/>
      <c r="CC26" s="84" t="str">
        <f>IF(OR(ISBLANK(AB10),ISBLANK(AB11)),"N/A",IF((CC24=CC25),"ok","&lt;&gt;"))</f>
        <v>N/A</v>
      </c>
      <c r="CD26" s="84"/>
      <c r="CE26" s="84" t="str">
        <f>IF(OR(ISBLANK(AD10),ISBLANK(AD11)),"N/A",IF((CE24=CE25),"ok","&lt;&gt;"))</f>
        <v>N/A</v>
      </c>
      <c r="CF26" s="84"/>
      <c r="CG26" s="84" t="str">
        <f>IF(OR(ISBLANK(AF10),ISBLANK(AF11)),"N/A",IF((CG24=CG25),"ok","&lt;&gt;"))</f>
        <v>N/A</v>
      </c>
      <c r="CH26" s="84"/>
      <c r="CI26" s="84" t="str">
        <f>IF(OR(ISBLANK(AH10),ISBLANK(AH11)),"N/A",IF((CI24=CI25),"ok","&lt;&gt;"))</f>
        <v>N/A</v>
      </c>
      <c r="CJ26" s="84"/>
      <c r="CK26" s="84" t="str">
        <f>IF(OR(ISBLANK(AJ10),ISBLANK(AJ11)),"N/A",IF((CK24=CK25),"ok","&lt;&gt;"))</f>
        <v>N/A</v>
      </c>
      <c r="CL26" s="84"/>
      <c r="CM26" s="84" t="str">
        <f>IF(OR(ISBLANK(AL10),ISBLANK(AL11)),"N/A",IF((CM24=CM25),"ok","&lt;&gt;"))</f>
        <v>N/A</v>
      </c>
      <c r="CN26" s="84"/>
      <c r="CO26" s="84" t="str">
        <f>IF(OR(ISBLANK(AN10),ISBLANK(AN11)),"N/A",IF((CO24=CO25),"ok","&lt;&gt;"))</f>
        <v>N/A</v>
      </c>
      <c r="CP26" s="84"/>
      <c r="CQ26" s="84" t="str">
        <f>IF(OR(ISBLANK(AP10),ISBLANK(AP11)),"N/A",IF((CQ24=CQ25),"ok","&lt;&gt;"))</f>
        <v>N/A</v>
      </c>
      <c r="CR26" s="84"/>
      <c r="CS26" s="84" t="str">
        <f>IF(OR(ISBLANK(AR10),ISBLANK(AR11)),"N/A",IF((CS24=CS25),"ok","&lt;&gt;"))</f>
        <v>N/A</v>
      </c>
      <c r="CT26" s="84"/>
      <c r="CU26" s="84" t="str">
        <f>IF(OR(ISBLANK(AT10),ISBLANK(AT11)),"N/A",IF((CU24=CU25),"ok","&lt;&gt;"))</f>
        <v>N/A</v>
      </c>
      <c r="CV26" s="84"/>
      <c r="CW26" s="84" t="str">
        <f>IF(OR(ISBLANK(AV10),ISBLANK(AV11)),"N/A",IF((CW24=CW25),"ok","&lt;&gt;"))</f>
        <v>N/A</v>
      </c>
      <c r="CX26" s="84"/>
      <c r="CY26" s="84" t="str">
        <f>IF(OR(ISBLANK(AX10),ISBLANK(AX11)),"N/A",IF((CY24=CY25),"ok","&lt;&gt;"))</f>
        <v>N/A</v>
      </c>
      <c r="CZ26" s="84"/>
      <c r="DA26" s="84" t="str">
        <f>IF(OR(ISBLANK(AZ10),ISBLANK(AZ11)),"N/A",IF((DA24=DA25),"ok","&lt;&gt;"))</f>
        <v>N/A</v>
      </c>
      <c r="DB26" s="84"/>
      <c r="DC26" s="84" t="str">
        <f>IF(OR(ISBLANK(BB10),ISBLANK(BB11)),"N/A",IF((DC24=DC25),"ok","&lt;&gt;"))</f>
        <v>N/A</v>
      </c>
      <c r="DD26" s="292"/>
      <c r="DE26" s="221">
        <v>70</v>
      </c>
      <c r="DF26" s="221" t="s">
        <v>23</v>
      </c>
      <c r="DG26" s="221">
        <v>52640</v>
      </c>
      <c r="DH26" s="221">
        <v>35500</v>
      </c>
      <c r="DI26" s="221">
        <v>2000</v>
      </c>
      <c r="DJ26" s="221">
        <v>37500</v>
      </c>
      <c r="DK26" s="292"/>
      <c r="DL26" s="292"/>
    </row>
    <row r="27" spans="1:116" ht="14.25" customHeight="1">
      <c r="A27" s="291"/>
      <c r="B27" s="291"/>
      <c r="C27" s="289"/>
      <c r="D27" s="301"/>
      <c r="E27" s="301"/>
      <c r="F27" s="305"/>
      <c r="G27" s="305"/>
      <c r="H27" s="304"/>
      <c r="I27" s="304"/>
      <c r="J27" s="304"/>
      <c r="K27" s="304"/>
      <c r="L27" s="304"/>
      <c r="M27" s="304"/>
      <c r="N27" s="304"/>
      <c r="O27" s="304"/>
      <c r="P27" s="304"/>
      <c r="Q27" s="304"/>
      <c r="R27" s="304"/>
      <c r="S27" s="304"/>
      <c r="T27" s="304"/>
      <c r="U27" s="304"/>
      <c r="V27" s="304"/>
      <c r="W27" s="304"/>
      <c r="X27" s="304"/>
      <c r="Y27" s="304"/>
      <c r="Z27" s="304"/>
      <c r="AA27" s="304"/>
      <c r="AB27" s="305"/>
      <c r="AC27" s="305"/>
      <c r="AD27" s="305"/>
      <c r="AE27" s="305"/>
      <c r="AF27" s="305"/>
      <c r="AG27" s="305"/>
      <c r="AH27" s="305"/>
      <c r="AI27" s="305"/>
      <c r="AJ27" s="305"/>
      <c r="AK27" s="305"/>
      <c r="AL27" s="305"/>
      <c r="AM27" s="305"/>
      <c r="AN27" s="305"/>
      <c r="AO27" s="301"/>
      <c r="AP27" s="301"/>
      <c r="AQ27" s="301"/>
      <c r="AR27" s="301"/>
      <c r="AS27" s="301"/>
      <c r="AT27" s="301"/>
      <c r="AU27" s="301"/>
      <c r="AV27" s="301"/>
      <c r="AW27" s="301"/>
      <c r="AX27" s="301"/>
      <c r="AY27" s="301"/>
      <c r="AZ27" s="301"/>
      <c r="BA27" s="301"/>
      <c r="BB27" s="301"/>
      <c r="BC27" s="301"/>
      <c r="BD27" s="294"/>
      <c r="BE27" s="295"/>
      <c r="BF27" s="100">
        <v>1</v>
      </c>
      <c r="BG27" s="306" t="s">
        <v>443</v>
      </c>
      <c r="BH27" s="100" t="s">
        <v>444</v>
      </c>
      <c r="BI27" s="84">
        <f>F8</f>
        <v>0</v>
      </c>
      <c r="BJ27" s="85" t="s">
        <v>448</v>
      </c>
      <c r="BK27" s="84" t="s">
        <v>448</v>
      </c>
      <c r="BL27" s="85"/>
      <c r="BM27" s="84" t="s">
        <v>448</v>
      </c>
      <c r="BN27" s="85"/>
      <c r="BO27" s="84" t="s">
        <v>448</v>
      </c>
      <c r="BP27" s="85"/>
      <c r="BQ27" s="84" t="s">
        <v>448</v>
      </c>
      <c r="BR27" s="85"/>
      <c r="BS27" s="84" t="s">
        <v>448</v>
      </c>
      <c r="BT27" s="85"/>
      <c r="BU27" s="84" t="s">
        <v>448</v>
      </c>
      <c r="BV27" s="85"/>
      <c r="BW27" s="84" t="s">
        <v>448</v>
      </c>
      <c r="BX27" s="85"/>
      <c r="BY27" s="84" t="s">
        <v>448</v>
      </c>
      <c r="BZ27" s="85"/>
      <c r="CA27" s="84" t="s">
        <v>448</v>
      </c>
      <c r="CB27" s="85"/>
      <c r="CC27" s="84" t="s">
        <v>448</v>
      </c>
      <c r="CD27" s="85"/>
      <c r="CE27" s="84" t="s">
        <v>448</v>
      </c>
      <c r="CF27" s="85"/>
      <c r="CG27" s="84" t="s">
        <v>448</v>
      </c>
      <c r="CH27" s="84"/>
      <c r="CI27" s="84" t="s">
        <v>448</v>
      </c>
      <c r="CJ27" s="85"/>
      <c r="CK27" s="84" t="s">
        <v>448</v>
      </c>
      <c r="CL27" s="85"/>
      <c r="CM27" s="84" t="s">
        <v>448</v>
      </c>
      <c r="CN27" s="85"/>
      <c r="CO27" s="84" t="s">
        <v>448</v>
      </c>
      <c r="CP27" s="85"/>
      <c r="CQ27" s="84" t="s">
        <v>448</v>
      </c>
      <c r="CR27" s="616"/>
      <c r="CS27" s="84" t="s">
        <v>448</v>
      </c>
      <c r="CT27" s="616"/>
      <c r="CU27" s="84" t="s">
        <v>448</v>
      </c>
      <c r="CV27" s="616"/>
      <c r="CW27" s="84" t="s">
        <v>448</v>
      </c>
      <c r="CX27" s="616"/>
      <c r="CY27" s="84" t="s">
        <v>448</v>
      </c>
      <c r="CZ27" s="616"/>
      <c r="DA27" s="84" t="s">
        <v>448</v>
      </c>
      <c r="DB27" s="616"/>
      <c r="DC27" s="84" t="s">
        <v>448</v>
      </c>
      <c r="DD27" s="292"/>
      <c r="DE27" s="221">
        <v>72</v>
      </c>
      <c r="DF27" s="221" t="s">
        <v>24</v>
      </c>
      <c r="DG27" s="221">
        <v>242000</v>
      </c>
      <c r="DH27" s="221">
        <v>2400</v>
      </c>
      <c r="DI27" s="221">
        <v>9040</v>
      </c>
      <c r="DJ27" s="221">
        <v>12240</v>
      </c>
      <c r="DK27" s="292"/>
      <c r="DL27" s="292"/>
    </row>
    <row r="28" spans="1:116" ht="19.5" customHeight="1">
      <c r="A28" s="291"/>
      <c r="B28" s="291"/>
      <c r="C28" s="289"/>
      <c r="D28" s="301"/>
      <c r="F28" s="307"/>
      <c r="G28" s="302"/>
      <c r="H28" s="774" t="str">
        <f>LEFT(D10,LEN(D10)-7)&amp;" (W1, 3)"</f>
        <v>Flux interne  (W1, 3)</v>
      </c>
      <c r="I28" s="775"/>
      <c r="J28" s="775"/>
      <c r="K28" s="775"/>
      <c r="L28" s="779"/>
      <c r="M28" s="779"/>
      <c r="N28" s="779"/>
      <c r="O28" s="780"/>
      <c r="P28" s="303"/>
      <c r="Q28" s="303"/>
      <c r="R28" s="303"/>
      <c r="S28" s="303"/>
      <c r="T28" s="303"/>
      <c r="U28" s="303"/>
      <c r="V28" s="303"/>
      <c r="W28" s="303"/>
      <c r="X28" s="303"/>
      <c r="Y28" s="303"/>
      <c r="Z28" s="303"/>
      <c r="AA28" s="303"/>
      <c r="AB28" s="302"/>
      <c r="AC28" s="305"/>
      <c r="AD28" s="791"/>
      <c r="AE28" s="793"/>
      <c r="AF28" s="793"/>
      <c r="AG28" s="793"/>
      <c r="AH28" s="793"/>
      <c r="AI28" s="793"/>
      <c r="AJ28" s="793"/>
      <c r="AK28" s="793"/>
      <c r="AL28" s="793"/>
      <c r="AM28" s="305"/>
      <c r="AN28" s="305"/>
      <c r="AO28" s="301"/>
      <c r="AP28" s="301"/>
      <c r="AQ28" s="301"/>
      <c r="AR28" s="301"/>
      <c r="AS28" s="301"/>
      <c r="BD28" s="294"/>
      <c r="BE28" s="295"/>
      <c r="BF28" s="296">
        <v>12</v>
      </c>
      <c r="BG28" s="297" t="s">
        <v>425</v>
      </c>
      <c r="BH28" s="84" t="s">
        <v>444</v>
      </c>
      <c r="BI28" s="84">
        <f>VLOOKUP(B3,DE7:DJ183,3,FALSE)</f>
        <v>3618000</v>
      </c>
      <c r="BJ28" s="84" t="s">
        <v>448</v>
      </c>
      <c r="BK28" s="84" t="s">
        <v>448</v>
      </c>
      <c r="BL28" s="84"/>
      <c r="BM28" s="84" t="s">
        <v>448</v>
      </c>
      <c r="BN28" s="85"/>
      <c r="BO28" s="84" t="s">
        <v>448</v>
      </c>
      <c r="BP28" s="85"/>
      <c r="BQ28" s="84" t="s">
        <v>448</v>
      </c>
      <c r="BR28" s="85"/>
      <c r="BS28" s="84" t="s">
        <v>448</v>
      </c>
      <c r="BT28" s="85"/>
      <c r="BU28" s="84" t="s">
        <v>448</v>
      </c>
      <c r="BV28" s="85"/>
      <c r="BW28" s="84" t="s">
        <v>448</v>
      </c>
      <c r="BX28" s="85"/>
      <c r="BY28" s="84" t="s">
        <v>448</v>
      </c>
      <c r="BZ28" s="85"/>
      <c r="CA28" s="84" t="s">
        <v>448</v>
      </c>
      <c r="CB28" s="85"/>
      <c r="CC28" s="84" t="s">
        <v>448</v>
      </c>
      <c r="CD28" s="85"/>
      <c r="CE28" s="84" t="s">
        <v>448</v>
      </c>
      <c r="CF28" s="85"/>
      <c r="CG28" s="84" t="s">
        <v>448</v>
      </c>
      <c r="CH28" s="84"/>
      <c r="CI28" s="84" t="s">
        <v>448</v>
      </c>
      <c r="CJ28" s="85"/>
      <c r="CK28" s="84" t="s">
        <v>448</v>
      </c>
      <c r="CL28" s="85"/>
      <c r="CM28" s="84" t="s">
        <v>448</v>
      </c>
      <c r="CN28" s="85"/>
      <c r="CO28" s="84" t="s">
        <v>448</v>
      </c>
      <c r="CP28" s="85"/>
      <c r="CQ28" s="84" t="s">
        <v>448</v>
      </c>
      <c r="CR28" s="616"/>
      <c r="CS28" s="84" t="s">
        <v>448</v>
      </c>
      <c r="CT28" s="616"/>
      <c r="CU28" s="84" t="s">
        <v>448</v>
      </c>
      <c r="CV28" s="616"/>
      <c r="CW28" s="84" t="s">
        <v>448</v>
      </c>
      <c r="CX28" s="616"/>
      <c r="CY28" s="84" t="s">
        <v>448</v>
      </c>
      <c r="CZ28" s="616"/>
      <c r="DA28" s="84" t="s">
        <v>448</v>
      </c>
      <c r="DB28" s="616"/>
      <c r="DC28" s="84" t="s">
        <v>448</v>
      </c>
      <c r="DD28" s="292"/>
      <c r="DE28" s="221">
        <v>76</v>
      </c>
      <c r="DF28" s="221" t="s">
        <v>25</v>
      </c>
      <c r="DG28" s="221">
        <v>14995000</v>
      </c>
      <c r="DH28" s="221">
        <v>5661000</v>
      </c>
      <c r="DI28" s="221">
        <v>2986000</v>
      </c>
      <c r="DJ28" s="221">
        <v>8647000</v>
      </c>
      <c r="DK28" s="292"/>
      <c r="DL28" s="292"/>
    </row>
    <row r="29" spans="1:116" ht="36" customHeight="1">
      <c r="A29" s="291"/>
      <c r="B29" s="291"/>
      <c r="C29" s="289"/>
      <c r="D29" s="301"/>
      <c r="E29" s="301"/>
      <c r="F29" s="305"/>
      <c r="G29" s="305"/>
      <c r="H29" s="304"/>
      <c r="I29" s="304"/>
      <c r="J29" s="304"/>
      <c r="K29" s="304"/>
      <c r="L29" s="304"/>
      <c r="M29" s="304"/>
      <c r="N29" s="304"/>
      <c r="O29" s="304"/>
      <c r="P29" s="304"/>
      <c r="Q29" s="304"/>
      <c r="R29" s="304"/>
      <c r="S29" s="304"/>
      <c r="T29" s="304"/>
      <c r="U29" s="304"/>
      <c r="V29" s="304"/>
      <c r="W29" s="774" t="str">
        <f>D13&amp;" (W1, 6)"</f>
        <v>Flux sortant d’eaux de surface et d’eaux souterraines vers les pays voisins (W1, 6)</v>
      </c>
      <c r="X29" s="775"/>
      <c r="Y29" s="775"/>
      <c r="Z29" s="775"/>
      <c r="AA29" s="775"/>
      <c r="AB29" s="775"/>
      <c r="AC29" s="775"/>
      <c r="AD29" s="776"/>
      <c r="AE29" s="305"/>
      <c r="AF29" s="305"/>
      <c r="AG29" s="305"/>
      <c r="AH29" s="305"/>
      <c r="AI29" s="305"/>
      <c r="AJ29" s="305"/>
      <c r="AK29" s="305"/>
      <c r="AL29" s="305"/>
      <c r="AM29" s="305"/>
      <c r="AN29" s="305"/>
      <c r="AO29" s="301"/>
      <c r="AP29" s="301"/>
      <c r="AQ29" s="301"/>
      <c r="AR29" s="301"/>
      <c r="AS29" s="301"/>
      <c r="AT29" s="791"/>
      <c r="AU29" s="791"/>
      <c r="AV29" s="791"/>
      <c r="AW29" s="791"/>
      <c r="AX29" s="791"/>
      <c r="AY29" s="791"/>
      <c r="AZ29" s="791"/>
      <c r="BA29" s="791"/>
      <c r="BB29" s="791"/>
      <c r="BC29" s="792"/>
      <c r="BD29" s="294"/>
      <c r="BE29" s="295"/>
      <c r="BF29" s="300" t="s">
        <v>469</v>
      </c>
      <c r="BG29" s="308" t="s">
        <v>522</v>
      </c>
      <c r="BH29" s="84" t="s">
        <v>444</v>
      </c>
      <c r="BI29" s="84">
        <f>ABS(BI27-BI28)</f>
        <v>3618000</v>
      </c>
      <c r="BJ29" s="85" t="s">
        <v>448</v>
      </c>
      <c r="BK29" s="84" t="s">
        <v>448</v>
      </c>
      <c r="BL29" s="85"/>
      <c r="BM29" s="84" t="s">
        <v>448</v>
      </c>
      <c r="BN29" s="85"/>
      <c r="BO29" s="84" t="s">
        <v>448</v>
      </c>
      <c r="BP29" s="85"/>
      <c r="BQ29" s="84" t="s">
        <v>448</v>
      </c>
      <c r="BR29" s="85"/>
      <c r="BS29" s="84" t="s">
        <v>448</v>
      </c>
      <c r="BT29" s="85"/>
      <c r="BU29" s="84" t="s">
        <v>448</v>
      </c>
      <c r="BV29" s="85"/>
      <c r="BW29" s="84" t="s">
        <v>448</v>
      </c>
      <c r="BX29" s="85"/>
      <c r="BY29" s="84" t="s">
        <v>448</v>
      </c>
      <c r="BZ29" s="85"/>
      <c r="CA29" s="84" t="s">
        <v>448</v>
      </c>
      <c r="CB29" s="85"/>
      <c r="CC29" s="84" t="s">
        <v>448</v>
      </c>
      <c r="CD29" s="85"/>
      <c r="CE29" s="84" t="s">
        <v>448</v>
      </c>
      <c r="CF29" s="85"/>
      <c r="CG29" s="84" t="s">
        <v>448</v>
      </c>
      <c r="CH29" s="84"/>
      <c r="CI29" s="84" t="s">
        <v>448</v>
      </c>
      <c r="CJ29" s="85"/>
      <c r="CK29" s="84" t="s">
        <v>448</v>
      </c>
      <c r="CL29" s="85"/>
      <c r="CM29" s="84" t="s">
        <v>448</v>
      </c>
      <c r="CN29" s="85"/>
      <c r="CO29" s="84" t="s">
        <v>448</v>
      </c>
      <c r="CP29" s="85"/>
      <c r="CQ29" s="84" t="s">
        <v>448</v>
      </c>
      <c r="CR29" s="616"/>
      <c r="CS29" s="84" t="s">
        <v>448</v>
      </c>
      <c r="CT29" s="616"/>
      <c r="CU29" s="84" t="s">
        <v>448</v>
      </c>
      <c r="CV29" s="616"/>
      <c r="CW29" s="84" t="s">
        <v>448</v>
      </c>
      <c r="CX29" s="616"/>
      <c r="CY29" s="84" t="s">
        <v>448</v>
      </c>
      <c r="CZ29" s="616"/>
      <c r="DA29" s="84" t="s">
        <v>448</v>
      </c>
      <c r="DB29" s="616"/>
      <c r="DC29" s="84" t="s">
        <v>448</v>
      </c>
      <c r="DD29" s="292"/>
      <c r="DE29" s="221">
        <v>96</v>
      </c>
      <c r="DF29" s="221" t="s">
        <v>26</v>
      </c>
      <c r="DG29" s="221">
        <v>15710</v>
      </c>
      <c r="DH29" s="221">
        <v>8500</v>
      </c>
      <c r="DI29" s="221">
        <v>0</v>
      </c>
      <c r="DJ29" s="221">
        <v>8500</v>
      </c>
      <c r="DK29" s="292"/>
      <c r="DL29" s="292"/>
    </row>
    <row r="30" spans="1:116" s="190" customFormat="1" ht="44.25" customHeight="1">
      <c r="A30" s="291"/>
      <c r="B30" s="291"/>
      <c r="C30" s="289"/>
      <c r="D30" s="301"/>
      <c r="E30" s="301"/>
      <c r="F30" s="774" t="str">
        <f>D11&amp;" (W1, 4)"</f>
        <v>Apport externe d’eaux de surface et d’eaux souterraines des pays voisins (W1, 4)</v>
      </c>
      <c r="G30" s="775"/>
      <c r="H30" s="775"/>
      <c r="I30" s="776"/>
      <c r="J30" s="304"/>
      <c r="K30" s="304"/>
      <c r="L30" s="304"/>
      <c r="M30" s="304"/>
      <c r="N30" s="774" t="str">
        <f>LEFT(D12,LEN(D12)-7)&amp;" (W1, 5)"</f>
        <v>Ressources renouvelables en eau douce (W1, 5)</v>
      </c>
      <c r="O30" s="775"/>
      <c r="P30" s="775"/>
      <c r="Q30" s="776"/>
      <c r="R30" s="304"/>
      <c r="S30" s="304"/>
      <c r="T30" s="304"/>
      <c r="U30" s="304"/>
      <c r="V30" s="304"/>
      <c r="W30" s="304"/>
      <c r="X30" s="304"/>
      <c r="Y30" s="304"/>
      <c r="Z30" s="304"/>
      <c r="AA30" s="304"/>
      <c r="AB30" s="791"/>
      <c r="AC30" s="794"/>
      <c r="AD30" s="794"/>
      <c r="AE30" s="794"/>
      <c r="AF30" s="305"/>
      <c r="AG30" s="305"/>
      <c r="AH30" s="305"/>
      <c r="AI30" s="305"/>
      <c r="AJ30" s="305"/>
      <c r="AK30" s="791"/>
      <c r="AL30" s="792"/>
      <c r="AM30" s="792"/>
      <c r="AN30" s="792"/>
      <c r="AO30" s="301"/>
      <c r="AP30" s="301"/>
      <c r="AQ30" s="301"/>
      <c r="AR30" s="301"/>
      <c r="AS30" s="301"/>
      <c r="AT30" s="302"/>
      <c r="AU30" s="302"/>
      <c r="AV30" s="302"/>
      <c r="AW30" s="302"/>
      <c r="AX30" s="302"/>
      <c r="AY30" s="302"/>
      <c r="AZ30" s="302"/>
      <c r="BA30" s="302"/>
      <c r="BB30" s="302"/>
      <c r="BC30" s="309"/>
      <c r="BD30" s="294"/>
      <c r="BE30" s="295"/>
      <c r="BF30" s="84">
        <v>3</v>
      </c>
      <c r="BG30" s="248" t="s">
        <v>402</v>
      </c>
      <c r="BH30" s="84" t="s">
        <v>444</v>
      </c>
      <c r="BI30" s="84">
        <f>F10</f>
        <v>0</v>
      </c>
      <c r="BJ30" s="85" t="s">
        <v>448</v>
      </c>
      <c r="BK30" s="84" t="s">
        <v>448</v>
      </c>
      <c r="BL30" s="85"/>
      <c r="BM30" s="84" t="s">
        <v>448</v>
      </c>
      <c r="BN30" s="85"/>
      <c r="BO30" s="84" t="s">
        <v>448</v>
      </c>
      <c r="BP30" s="85"/>
      <c r="BQ30" s="84" t="s">
        <v>448</v>
      </c>
      <c r="BR30" s="85"/>
      <c r="BS30" s="84" t="s">
        <v>448</v>
      </c>
      <c r="BT30" s="85"/>
      <c r="BU30" s="84" t="s">
        <v>448</v>
      </c>
      <c r="BV30" s="85"/>
      <c r="BW30" s="84" t="s">
        <v>448</v>
      </c>
      <c r="BX30" s="85"/>
      <c r="BY30" s="84" t="s">
        <v>448</v>
      </c>
      <c r="BZ30" s="85"/>
      <c r="CA30" s="84" t="s">
        <v>448</v>
      </c>
      <c r="CB30" s="85"/>
      <c r="CC30" s="84" t="s">
        <v>448</v>
      </c>
      <c r="CD30" s="85"/>
      <c r="CE30" s="84" t="s">
        <v>448</v>
      </c>
      <c r="CF30" s="85"/>
      <c r="CG30" s="84" t="s">
        <v>448</v>
      </c>
      <c r="CH30" s="84"/>
      <c r="CI30" s="84" t="s">
        <v>448</v>
      </c>
      <c r="CJ30" s="85"/>
      <c r="CK30" s="84" t="s">
        <v>448</v>
      </c>
      <c r="CL30" s="85"/>
      <c r="CM30" s="84" t="s">
        <v>448</v>
      </c>
      <c r="CN30" s="85"/>
      <c r="CO30" s="84" t="s">
        <v>448</v>
      </c>
      <c r="CP30" s="85"/>
      <c r="CQ30" s="84" t="s">
        <v>448</v>
      </c>
      <c r="CR30" s="616"/>
      <c r="CS30" s="84" t="s">
        <v>448</v>
      </c>
      <c r="CT30" s="616"/>
      <c r="CU30" s="84" t="s">
        <v>448</v>
      </c>
      <c r="CV30" s="616"/>
      <c r="CW30" s="84" t="s">
        <v>448</v>
      </c>
      <c r="CX30" s="616"/>
      <c r="CY30" s="84" t="s">
        <v>448</v>
      </c>
      <c r="CZ30" s="616"/>
      <c r="DA30" s="84" t="s">
        <v>448</v>
      </c>
      <c r="DB30" s="616"/>
      <c r="DC30" s="84" t="s">
        <v>448</v>
      </c>
      <c r="DD30" s="292"/>
      <c r="DE30" s="221">
        <v>100</v>
      </c>
      <c r="DF30" s="221" t="s">
        <v>27</v>
      </c>
      <c r="DG30" s="221">
        <v>67490</v>
      </c>
      <c r="DH30" s="221">
        <v>21000</v>
      </c>
      <c r="DI30" s="221">
        <v>300</v>
      </c>
      <c r="DJ30" s="221">
        <v>21300</v>
      </c>
      <c r="DK30" s="310"/>
      <c r="DL30" s="310"/>
    </row>
    <row r="31" spans="1:116" s="190" customFormat="1" ht="37.5" customHeight="1">
      <c r="A31" s="291"/>
      <c r="B31" s="291"/>
      <c r="C31" s="289"/>
      <c r="E31" s="307"/>
      <c r="F31" s="302"/>
      <c r="G31" s="302"/>
      <c r="H31" s="303"/>
      <c r="I31" s="311"/>
      <c r="J31" s="311"/>
      <c r="K31" s="311"/>
      <c r="L31" s="311"/>
      <c r="M31" s="311"/>
      <c r="N31" s="311"/>
      <c r="O31" s="311"/>
      <c r="P31" s="311"/>
      <c r="Q31" s="311"/>
      <c r="R31" s="311"/>
      <c r="S31" s="311"/>
      <c r="T31" s="311"/>
      <c r="U31" s="311"/>
      <c r="V31" s="311"/>
      <c r="W31" s="774" t="str">
        <f>D16&amp;" (W1, 9)"</f>
        <v>Flux sortant d’eaux de surface et d’eaux souterraines vers la mer (W1, 9)</v>
      </c>
      <c r="X31" s="775"/>
      <c r="Y31" s="775"/>
      <c r="Z31" s="775"/>
      <c r="AA31" s="779"/>
      <c r="AB31" s="779"/>
      <c r="AC31" s="779"/>
      <c r="AD31" s="780"/>
      <c r="AE31" s="623"/>
      <c r="AF31" s="312"/>
      <c r="AG31" s="313"/>
      <c r="AH31" s="303"/>
      <c r="AI31" s="303"/>
      <c r="AJ31" s="303"/>
      <c r="AK31" s="789"/>
      <c r="AL31" s="790"/>
      <c r="AM31" s="790"/>
      <c r="AN31" s="790"/>
      <c r="AO31" s="314"/>
      <c r="AP31" s="314"/>
      <c r="AQ31" s="279"/>
      <c r="AR31" s="279"/>
      <c r="AS31" s="279"/>
      <c r="AT31" s="791"/>
      <c r="AU31" s="791"/>
      <c r="AV31" s="791"/>
      <c r="AW31" s="791"/>
      <c r="AX31" s="791"/>
      <c r="AY31" s="791"/>
      <c r="AZ31" s="791"/>
      <c r="BA31" s="791"/>
      <c r="BB31" s="791"/>
      <c r="BC31" s="792"/>
      <c r="BD31" s="294"/>
      <c r="BE31" s="295"/>
      <c r="BF31" s="315">
        <v>13</v>
      </c>
      <c r="BG31" s="297" t="s">
        <v>426</v>
      </c>
      <c r="BH31" s="84" t="s">
        <v>444</v>
      </c>
      <c r="BI31" s="84">
        <f>VLOOKUP(B3,DE7:DJ183,4,FALSE)</f>
        <v>900000</v>
      </c>
      <c r="BJ31" s="85" t="s">
        <v>448</v>
      </c>
      <c r="BK31" s="84" t="s">
        <v>448</v>
      </c>
      <c r="BL31" s="85"/>
      <c r="BM31" s="84" t="s">
        <v>448</v>
      </c>
      <c r="BN31" s="85"/>
      <c r="BO31" s="84" t="s">
        <v>448</v>
      </c>
      <c r="BP31" s="85"/>
      <c r="BQ31" s="84" t="s">
        <v>448</v>
      </c>
      <c r="BR31" s="85"/>
      <c r="BS31" s="84" t="s">
        <v>448</v>
      </c>
      <c r="BT31" s="85"/>
      <c r="BU31" s="84" t="s">
        <v>448</v>
      </c>
      <c r="BV31" s="85"/>
      <c r="BW31" s="84" t="s">
        <v>448</v>
      </c>
      <c r="BX31" s="85"/>
      <c r="BY31" s="84" t="s">
        <v>448</v>
      </c>
      <c r="BZ31" s="85"/>
      <c r="CA31" s="84" t="s">
        <v>448</v>
      </c>
      <c r="CB31" s="85"/>
      <c r="CC31" s="84" t="s">
        <v>448</v>
      </c>
      <c r="CD31" s="85"/>
      <c r="CE31" s="84" t="s">
        <v>448</v>
      </c>
      <c r="CF31" s="85"/>
      <c r="CG31" s="84" t="s">
        <v>448</v>
      </c>
      <c r="CH31" s="84"/>
      <c r="CI31" s="84" t="s">
        <v>448</v>
      </c>
      <c r="CJ31" s="85"/>
      <c r="CK31" s="84" t="s">
        <v>448</v>
      </c>
      <c r="CL31" s="85"/>
      <c r="CM31" s="84" t="s">
        <v>448</v>
      </c>
      <c r="CN31" s="85"/>
      <c r="CO31" s="84" t="s">
        <v>448</v>
      </c>
      <c r="CP31" s="85"/>
      <c r="CQ31" s="84" t="s">
        <v>448</v>
      </c>
      <c r="CR31" s="616"/>
      <c r="CS31" s="84" t="s">
        <v>448</v>
      </c>
      <c r="CT31" s="616"/>
      <c r="CU31" s="84" t="s">
        <v>448</v>
      </c>
      <c r="CV31" s="616"/>
      <c r="CW31" s="84" t="s">
        <v>448</v>
      </c>
      <c r="CX31" s="616"/>
      <c r="CY31" s="84" t="s">
        <v>448</v>
      </c>
      <c r="CZ31" s="616"/>
      <c r="DA31" s="84" t="s">
        <v>448</v>
      </c>
      <c r="DB31" s="616"/>
      <c r="DC31" s="84" t="s">
        <v>448</v>
      </c>
      <c r="DD31" s="310"/>
      <c r="DE31" s="221">
        <v>854</v>
      </c>
      <c r="DF31" s="221" t="s">
        <v>28</v>
      </c>
      <c r="DG31" s="221">
        <v>205100</v>
      </c>
      <c r="DH31" s="221">
        <v>12500</v>
      </c>
      <c r="DI31" s="221">
        <v>1000</v>
      </c>
      <c r="DJ31" s="221">
        <v>13500</v>
      </c>
      <c r="DK31" s="310"/>
      <c r="DL31" s="310"/>
    </row>
    <row r="32" spans="1:116" s="215" customFormat="1" ht="12.75">
      <c r="A32" s="209"/>
      <c r="B32" s="291"/>
      <c r="C32" s="289"/>
      <c r="D32" s="190"/>
      <c r="E32" s="316"/>
      <c r="F32" s="316"/>
      <c r="G32" s="310"/>
      <c r="H32" s="317"/>
      <c r="I32" s="318"/>
      <c r="J32" s="318"/>
      <c r="K32" s="318"/>
      <c r="L32" s="318"/>
      <c r="M32" s="318"/>
      <c r="N32" s="318"/>
      <c r="O32" s="318"/>
      <c r="P32" s="318"/>
      <c r="Q32" s="318"/>
      <c r="R32" s="318"/>
      <c r="S32" s="318"/>
      <c r="T32" s="318"/>
      <c r="U32" s="318"/>
      <c r="V32" s="318"/>
      <c r="W32" s="318"/>
      <c r="X32" s="318"/>
      <c r="Y32" s="318"/>
      <c r="Z32" s="318"/>
      <c r="AA32" s="319"/>
      <c r="AB32" s="319"/>
      <c r="AC32" s="316"/>
      <c r="AD32" s="314"/>
      <c r="AE32" s="314"/>
      <c r="AF32" s="316"/>
      <c r="AG32" s="316"/>
      <c r="AH32" s="316"/>
      <c r="AI32" s="316"/>
      <c r="AJ32" s="314"/>
      <c r="AK32" s="314"/>
      <c r="AL32" s="314"/>
      <c r="AM32" s="314"/>
      <c r="AN32" s="314"/>
      <c r="AO32" s="314"/>
      <c r="AP32" s="314"/>
      <c r="AQ32" s="314"/>
      <c r="AR32" s="314"/>
      <c r="AS32" s="314"/>
      <c r="AT32" s="314"/>
      <c r="AU32" s="314"/>
      <c r="AV32" s="314"/>
      <c r="AW32" s="314"/>
      <c r="AX32" s="314"/>
      <c r="AY32" s="314"/>
      <c r="AZ32" s="314"/>
      <c r="BA32" s="314"/>
      <c r="BB32" s="314"/>
      <c r="BC32" s="314"/>
      <c r="BD32" s="212"/>
      <c r="BE32" s="213"/>
      <c r="BF32" s="300" t="s">
        <v>469</v>
      </c>
      <c r="BG32" s="297" t="s">
        <v>523</v>
      </c>
      <c r="BH32" s="84" t="s">
        <v>444</v>
      </c>
      <c r="BI32" s="84">
        <f>ABS(BI30-BI31)</f>
        <v>900000</v>
      </c>
      <c r="BJ32" s="84" t="s">
        <v>448</v>
      </c>
      <c r="BK32" s="84" t="s">
        <v>448</v>
      </c>
      <c r="BL32" s="84"/>
      <c r="BM32" s="84" t="s">
        <v>448</v>
      </c>
      <c r="BN32" s="84"/>
      <c r="BO32" s="84" t="s">
        <v>448</v>
      </c>
      <c r="BP32" s="84"/>
      <c r="BQ32" s="84" t="s">
        <v>448</v>
      </c>
      <c r="BR32" s="84"/>
      <c r="BS32" s="84" t="s">
        <v>448</v>
      </c>
      <c r="BT32" s="84"/>
      <c r="BU32" s="84" t="s">
        <v>448</v>
      </c>
      <c r="BV32" s="84"/>
      <c r="BW32" s="84" t="s">
        <v>448</v>
      </c>
      <c r="BX32" s="84"/>
      <c r="BY32" s="84" t="s">
        <v>448</v>
      </c>
      <c r="BZ32" s="84"/>
      <c r="CA32" s="84" t="s">
        <v>448</v>
      </c>
      <c r="CB32" s="84"/>
      <c r="CC32" s="84" t="s">
        <v>448</v>
      </c>
      <c r="CD32" s="84"/>
      <c r="CE32" s="84" t="s">
        <v>448</v>
      </c>
      <c r="CF32" s="84"/>
      <c r="CG32" s="84" t="s">
        <v>448</v>
      </c>
      <c r="CH32" s="84"/>
      <c r="CI32" s="84" t="s">
        <v>448</v>
      </c>
      <c r="CJ32" s="84"/>
      <c r="CK32" s="84" t="s">
        <v>448</v>
      </c>
      <c r="CL32" s="84"/>
      <c r="CM32" s="84" t="s">
        <v>448</v>
      </c>
      <c r="CN32" s="84"/>
      <c r="CO32" s="84" t="s">
        <v>448</v>
      </c>
      <c r="CP32" s="84"/>
      <c r="CQ32" s="84" t="s">
        <v>448</v>
      </c>
      <c r="CR32" s="84"/>
      <c r="CS32" s="84" t="s">
        <v>448</v>
      </c>
      <c r="CT32" s="84"/>
      <c r="CU32" s="84" t="s">
        <v>448</v>
      </c>
      <c r="CV32" s="84"/>
      <c r="CW32" s="84" t="s">
        <v>448</v>
      </c>
      <c r="CX32" s="84"/>
      <c r="CY32" s="84" t="s">
        <v>448</v>
      </c>
      <c r="CZ32" s="84"/>
      <c r="DA32" s="84" t="s">
        <v>448</v>
      </c>
      <c r="DB32" s="84"/>
      <c r="DC32" s="84" t="s">
        <v>448</v>
      </c>
      <c r="DD32" s="310"/>
      <c r="DE32" s="221">
        <v>108</v>
      </c>
      <c r="DF32" s="221" t="s">
        <v>29</v>
      </c>
      <c r="DG32" s="221">
        <v>35460</v>
      </c>
      <c r="DH32" s="221">
        <v>10060</v>
      </c>
      <c r="DI32" s="221">
        <v>126</v>
      </c>
      <c r="DJ32" s="221">
        <v>12540</v>
      </c>
      <c r="DK32" s="320"/>
      <c r="DL32" s="320"/>
    </row>
    <row r="33" spans="2:114" ht="15.75" customHeight="1">
      <c r="B33" s="180">
        <v>2</v>
      </c>
      <c r="C33" s="783" t="s">
        <v>308</v>
      </c>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c r="BC33" s="806"/>
      <c r="BF33" s="84">
        <v>4</v>
      </c>
      <c r="BG33" s="248" t="s">
        <v>405</v>
      </c>
      <c r="BH33" s="84" t="s">
        <v>444</v>
      </c>
      <c r="BI33" s="84">
        <f>F11</f>
        <v>0</v>
      </c>
      <c r="BJ33" s="84" t="s">
        <v>448</v>
      </c>
      <c r="BK33" s="84" t="s">
        <v>448</v>
      </c>
      <c r="BL33" s="84"/>
      <c r="BM33" s="84" t="s">
        <v>448</v>
      </c>
      <c r="BN33" s="84"/>
      <c r="BO33" s="84" t="s">
        <v>448</v>
      </c>
      <c r="BP33" s="84"/>
      <c r="BQ33" s="84" t="s">
        <v>448</v>
      </c>
      <c r="BR33" s="84"/>
      <c r="BS33" s="84" t="s">
        <v>448</v>
      </c>
      <c r="BT33" s="84"/>
      <c r="BU33" s="84" t="s">
        <v>448</v>
      </c>
      <c r="BV33" s="84"/>
      <c r="BW33" s="84" t="s">
        <v>448</v>
      </c>
      <c r="BX33" s="84"/>
      <c r="BY33" s="84" t="s">
        <v>448</v>
      </c>
      <c r="BZ33" s="84"/>
      <c r="CA33" s="84" t="s">
        <v>448</v>
      </c>
      <c r="CB33" s="84"/>
      <c r="CC33" s="84" t="s">
        <v>448</v>
      </c>
      <c r="CD33" s="84"/>
      <c r="CE33" s="84" t="s">
        <v>448</v>
      </c>
      <c r="CF33" s="84"/>
      <c r="CG33" s="84" t="s">
        <v>448</v>
      </c>
      <c r="CH33" s="84"/>
      <c r="CI33" s="84" t="s">
        <v>448</v>
      </c>
      <c r="CJ33" s="84"/>
      <c r="CK33" s="84" t="s">
        <v>448</v>
      </c>
      <c r="CL33" s="84"/>
      <c r="CM33" s="84" t="s">
        <v>448</v>
      </c>
      <c r="CN33" s="84"/>
      <c r="CO33" s="84" t="s">
        <v>448</v>
      </c>
      <c r="CP33" s="84"/>
      <c r="CQ33" s="84" t="s">
        <v>448</v>
      </c>
      <c r="CR33" s="84"/>
      <c r="CS33" s="84" t="s">
        <v>448</v>
      </c>
      <c r="CT33" s="84"/>
      <c r="CU33" s="84" t="s">
        <v>448</v>
      </c>
      <c r="CV33" s="84"/>
      <c r="CW33" s="84" t="s">
        <v>448</v>
      </c>
      <c r="CX33" s="84"/>
      <c r="CY33" s="84" t="s">
        <v>448</v>
      </c>
      <c r="CZ33" s="84"/>
      <c r="DA33" s="84" t="s">
        <v>448</v>
      </c>
      <c r="DB33" s="84"/>
      <c r="DC33" s="84" t="s">
        <v>448</v>
      </c>
      <c r="DD33" s="320"/>
      <c r="DE33" s="221">
        <v>132</v>
      </c>
      <c r="DF33" s="221" t="s">
        <v>559</v>
      </c>
      <c r="DG33" s="221">
        <v>918.8</v>
      </c>
      <c r="DH33" s="221">
        <v>300</v>
      </c>
      <c r="DI33" s="221">
        <v>0</v>
      </c>
      <c r="DJ33" s="221">
        <v>300</v>
      </c>
    </row>
    <row r="34" spans="3:114" ht="6" customHeight="1">
      <c r="C34" s="321"/>
      <c r="D34" s="322"/>
      <c r="E34" s="323"/>
      <c r="F34" s="190"/>
      <c r="G34" s="207"/>
      <c r="H34" s="206"/>
      <c r="I34" s="302"/>
      <c r="J34" s="206"/>
      <c r="K34" s="302"/>
      <c r="L34" s="302"/>
      <c r="M34" s="302"/>
      <c r="N34" s="302"/>
      <c r="O34" s="302"/>
      <c r="P34" s="302"/>
      <c r="Q34" s="302"/>
      <c r="R34" s="206"/>
      <c r="S34" s="302"/>
      <c r="T34" s="206"/>
      <c r="U34" s="302"/>
      <c r="V34" s="206"/>
      <c r="W34" s="207"/>
      <c r="X34" s="206"/>
      <c r="Y34" s="207"/>
      <c r="Z34" s="206"/>
      <c r="AA34" s="207"/>
      <c r="AB34" s="206"/>
      <c r="AC34" s="207"/>
      <c r="AD34" s="206"/>
      <c r="AE34" s="207"/>
      <c r="AF34" s="206"/>
      <c r="AG34" s="207"/>
      <c r="AH34" s="206"/>
      <c r="AI34" s="302"/>
      <c r="AJ34" s="206"/>
      <c r="AK34" s="207"/>
      <c r="AL34" s="206"/>
      <c r="AM34" s="207"/>
      <c r="AN34" s="206"/>
      <c r="AO34" s="207"/>
      <c r="AP34" s="207"/>
      <c r="AQ34" s="207"/>
      <c r="AR34" s="207"/>
      <c r="AS34" s="207"/>
      <c r="AT34" s="206"/>
      <c r="AU34" s="201"/>
      <c r="AV34" s="190"/>
      <c r="AW34" s="190"/>
      <c r="AX34" s="206"/>
      <c r="AY34" s="201"/>
      <c r="AZ34" s="190"/>
      <c r="BA34" s="190"/>
      <c r="BB34" s="190"/>
      <c r="BC34" s="190"/>
      <c r="BF34" s="296">
        <v>14</v>
      </c>
      <c r="BG34" s="297" t="s">
        <v>428</v>
      </c>
      <c r="BH34" s="84" t="s">
        <v>444</v>
      </c>
      <c r="BI34" s="84">
        <f>VLOOKUP(B3,DE7:DJ183,5,FALSE)</f>
        <v>383000</v>
      </c>
      <c r="BJ34" s="84" t="s">
        <v>448</v>
      </c>
      <c r="BK34" s="84" t="s">
        <v>448</v>
      </c>
      <c r="BL34" s="84"/>
      <c r="BM34" s="84" t="s">
        <v>448</v>
      </c>
      <c r="BN34" s="84"/>
      <c r="BO34" s="84" t="s">
        <v>448</v>
      </c>
      <c r="BP34" s="84"/>
      <c r="BQ34" s="84" t="s">
        <v>448</v>
      </c>
      <c r="BR34" s="84"/>
      <c r="BS34" s="84" t="s">
        <v>448</v>
      </c>
      <c r="BT34" s="84"/>
      <c r="BU34" s="84" t="s">
        <v>448</v>
      </c>
      <c r="BV34" s="84"/>
      <c r="BW34" s="84" t="s">
        <v>448</v>
      </c>
      <c r="BX34" s="84"/>
      <c r="BY34" s="84" t="s">
        <v>448</v>
      </c>
      <c r="BZ34" s="84"/>
      <c r="CA34" s="84" t="s">
        <v>448</v>
      </c>
      <c r="CB34" s="84"/>
      <c r="CC34" s="84" t="s">
        <v>448</v>
      </c>
      <c r="CD34" s="84"/>
      <c r="CE34" s="84" t="s">
        <v>448</v>
      </c>
      <c r="CF34" s="84"/>
      <c r="CG34" s="84" t="s">
        <v>448</v>
      </c>
      <c r="CH34" s="84"/>
      <c r="CI34" s="84" t="s">
        <v>448</v>
      </c>
      <c r="CJ34" s="84"/>
      <c r="CK34" s="84" t="s">
        <v>448</v>
      </c>
      <c r="CL34" s="84"/>
      <c r="CM34" s="84" t="s">
        <v>448</v>
      </c>
      <c r="CN34" s="84"/>
      <c r="CO34" s="84" t="s">
        <v>448</v>
      </c>
      <c r="CP34" s="84"/>
      <c r="CQ34" s="84" t="s">
        <v>448</v>
      </c>
      <c r="CR34" s="84"/>
      <c r="CS34" s="84" t="s">
        <v>448</v>
      </c>
      <c r="CT34" s="84"/>
      <c r="CU34" s="84" t="s">
        <v>448</v>
      </c>
      <c r="CV34" s="84"/>
      <c r="CW34" s="84" t="s">
        <v>448</v>
      </c>
      <c r="CX34" s="84"/>
      <c r="CY34" s="84" t="s">
        <v>448</v>
      </c>
      <c r="CZ34" s="84"/>
      <c r="DA34" s="84" t="s">
        <v>448</v>
      </c>
      <c r="DB34" s="84"/>
      <c r="DC34" s="84" t="s">
        <v>448</v>
      </c>
      <c r="DE34" s="221">
        <v>116</v>
      </c>
      <c r="DF34" s="221" t="s">
        <v>30</v>
      </c>
      <c r="DG34" s="221">
        <v>344700</v>
      </c>
      <c r="DH34" s="221">
        <v>120600</v>
      </c>
      <c r="DI34" s="221">
        <v>355500</v>
      </c>
      <c r="DJ34" s="221">
        <v>476100</v>
      </c>
    </row>
    <row r="35" spans="3:114" ht="18" customHeight="1">
      <c r="C35" s="324" t="s">
        <v>550</v>
      </c>
      <c r="D35" s="807" t="s">
        <v>309</v>
      </c>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8"/>
      <c r="AY35" s="808"/>
      <c r="AZ35" s="808"/>
      <c r="BA35" s="808"/>
      <c r="BB35" s="808"/>
      <c r="BC35" s="809"/>
      <c r="BF35" s="300" t="s">
        <v>469</v>
      </c>
      <c r="BG35" s="297" t="s">
        <v>524</v>
      </c>
      <c r="BH35" s="84" t="s">
        <v>444</v>
      </c>
      <c r="BI35" s="84">
        <f>ABS(BI33-BI34)</f>
        <v>383000</v>
      </c>
      <c r="BJ35" s="84" t="s">
        <v>448</v>
      </c>
      <c r="BK35" s="84" t="s">
        <v>448</v>
      </c>
      <c r="BL35" s="84"/>
      <c r="BM35" s="84" t="s">
        <v>448</v>
      </c>
      <c r="BN35" s="84"/>
      <c r="BO35" s="84" t="s">
        <v>448</v>
      </c>
      <c r="BP35" s="84"/>
      <c r="BQ35" s="84" t="s">
        <v>448</v>
      </c>
      <c r="BR35" s="84"/>
      <c r="BS35" s="84" t="s">
        <v>448</v>
      </c>
      <c r="BT35" s="84"/>
      <c r="BU35" s="84" t="s">
        <v>448</v>
      </c>
      <c r="BV35" s="84"/>
      <c r="BW35" s="84" t="s">
        <v>448</v>
      </c>
      <c r="BX35" s="84"/>
      <c r="BY35" s="84" t="s">
        <v>448</v>
      </c>
      <c r="BZ35" s="84"/>
      <c r="CA35" s="84" t="s">
        <v>448</v>
      </c>
      <c r="CB35" s="84"/>
      <c r="CC35" s="84" t="s">
        <v>448</v>
      </c>
      <c r="CD35" s="84"/>
      <c r="CE35" s="84" t="s">
        <v>448</v>
      </c>
      <c r="CF35" s="84"/>
      <c r="CG35" s="84" t="s">
        <v>448</v>
      </c>
      <c r="CH35" s="84"/>
      <c r="CI35" s="84" t="s">
        <v>448</v>
      </c>
      <c r="CJ35" s="84"/>
      <c r="CK35" s="84" t="s">
        <v>448</v>
      </c>
      <c r="CL35" s="84"/>
      <c r="CM35" s="84" t="s">
        <v>448</v>
      </c>
      <c r="CN35" s="84"/>
      <c r="CO35" s="84" t="s">
        <v>448</v>
      </c>
      <c r="CP35" s="84"/>
      <c r="CQ35" s="84" t="s">
        <v>448</v>
      </c>
      <c r="CR35" s="84"/>
      <c r="CS35" s="84" t="s">
        <v>448</v>
      </c>
      <c r="CT35" s="84"/>
      <c r="CU35" s="84" t="s">
        <v>448</v>
      </c>
      <c r="CV35" s="84"/>
      <c r="CW35" s="84" t="s">
        <v>448</v>
      </c>
      <c r="CX35" s="84"/>
      <c r="CY35" s="84" t="s">
        <v>448</v>
      </c>
      <c r="CZ35" s="84"/>
      <c r="DA35" s="84" t="s">
        <v>448</v>
      </c>
      <c r="DB35" s="84"/>
      <c r="DC35" s="84" t="s">
        <v>448</v>
      </c>
      <c r="DE35" s="221">
        <v>120</v>
      </c>
      <c r="DF35" s="221" t="s">
        <v>31</v>
      </c>
      <c r="DG35" s="221">
        <v>762600</v>
      </c>
      <c r="DH35" s="221">
        <v>273000</v>
      </c>
      <c r="DI35" s="221">
        <v>4000</v>
      </c>
      <c r="DJ35" s="221">
        <v>283100</v>
      </c>
    </row>
    <row r="36" spans="1:114" ht="18" customHeight="1">
      <c r="A36" s="180">
        <v>1</v>
      </c>
      <c r="B36" s="180">
        <v>6492</v>
      </c>
      <c r="C36" s="580" t="s">
        <v>688</v>
      </c>
      <c r="D36" s="803" t="s">
        <v>689</v>
      </c>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5"/>
      <c r="BF36" s="100">
        <v>5</v>
      </c>
      <c r="BG36" s="258" t="s">
        <v>401</v>
      </c>
      <c r="BH36" s="84" t="s">
        <v>444</v>
      </c>
      <c r="BI36" s="84">
        <f>F12</f>
        <v>0</v>
      </c>
      <c r="BJ36" s="84" t="s">
        <v>448</v>
      </c>
      <c r="BK36" s="84" t="s">
        <v>448</v>
      </c>
      <c r="BL36" s="84"/>
      <c r="BM36" s="84" t="s">
        <v>448</v>
      </c>
      <c r="BN36" s="84"/>
      <c r="BO36" s="84" t="s">
        <v>448</v>
      </c>
      <c r="BP36" s="84"/>
      <c r="BQ36" s="84" t="s">
        <v>448</v>
      </c>
      <c r="BR36" s="84"/>
      <c r="BS36" s="84" t="s">
        <v>448</v>
      </c>
      <c r="BT36" s="84"/>
      <c r="BU36" s="84" t="s">
        <v>448</v>
      </c>
      <c r="BV36" s="84"/>
      <c r="BW36" s="84" t="s">
        <v>448</v>
      </c>
      <c r="BX36" s="84"/>
      <c r="BY36" s="84" t="s">
        <v>448</v>
      </c>
      <c r="BZ36" s="84"/>
      <c r="CA36" s="84" t="s">
        <v>448</v>
      </c>
      <c r="CB36" s="84"/>
      <c r="CC36" s="84" t="s">
        <v>448</v>
      </c>
      <c r="CD36" s="84"/>
      <c r="CE36" s="84" t="s">
        <v>448</v>
      </c>
      <c r="CF36" s="84"/>
      <c r="CG36" s="84" t="s">
        <v>448</v>
      </c>
      <c r="CH36" s="84"/>
      <c r="CI36" s="84" t="s">
        <v>448</v>
      </c>
      <c r="CJ36" s="84"/>
      <c r="CK36" s="84" t="s">
        <v>448</v>
      </c>
      <c r="CL36" s="84"/>
      <c r="CM36" s="84" t="s">
        <v>448</v>
      </c>
      <c r="CN36" s="84"/>
      <c r="CO36" s="84" t="s">
        <v>448</v>
      </c>
      <c r="CP36" s="84"/>
      <c r="CQ36" s="84" t="s">
        <v>448</v>
      </c>
      <c r="CR36" s="84"/>
      <c r="CS36" s="84" t="s">
        <v>448</v>
      </c>
      <c r="CT36" s="84"/>
      <c r="CU36" s="84" t="s">
        <v>448</v>
      </c>
      <c r="CV36" s="84"/>
      <c r="CW36" s="84" t="s">
        <v>448</v>
      </c>
      <c r="CX36" s="84"/>
      <c r="CY36" s="84" t="s">
        <v>448</v>
      </c>
      <c r="CZ36" s="84"/>
      <c r="DA36" s="84" t="s">
        <v>448</v>
      </c>
      <c r="DB36" s="84"/>
      <c r="DC36" s="84" t="s">
        <v>448</v>
      </c>
      <c r="DE36" s="221">
        <v>140</v>
      </c>
      <c r="DF36" s="221" t="s">
        <v>32</v>
      </c>
      <c r="DG36" s="221">
        <v>836700</v>
      </c>
      <c r="DH36" s="221">
        <v>141000</v>
      </c>
      <c r="DI36" s="221">
        <v>0</v>
      </c>
      <c r="DJ36" s="221">
        <v>141000</v>
      </c>
    </row>
    <row r="37" spans="3:114" ht="18" customHeight="1">
      <c r="C37" s="580"/>
      <c r="D37" s="797"/>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AZ37" s="798"/>
      <c r="BA37" s="798"/>
      <c r="BB37" s="798"/>
      <c r="BC37" s="799"/>
      <c r="BF37" s="296">
        <v>15</v>
      </c>
      <c r="BG37" s="297" t="s">
        <v>427</v>
      </c>
      <c r="BH37" s="84" t="s">
        <v>444</v>
      </c>
      <c r="BI37" s="84">
        <f>VLOOKUP(B3,DE7:DJ183,6,FALSE)</f>
        <v>1283000</v>
      </c>
      <c r="BJ37" s="84" t="s">
        <v>448</v>
      </c>
      <c r="BK37" s="84" t="s">
        <v>448</v>
      </c>
      <c r="BL37" s="84"/>
      <c r="BM37" s="84" t="s">
        <v>448</v>
      </c>
      <c r="BN37" s="84"/>
      <c r="BO37" s="84" t="s">
        <v>448</v>
      </c>
      <c r="BP37" s="84"/>
      <c r="BQ37" s="84" t="s">
        <v>448</v>
      </c>
      <c r="BR37" s="84"/>
      <c r="BS37" s="84" t="s">
        <v>448</v>
      </c>
      <c r="BT37" s="84"/>
      <c r="BU37" s="84" t="s">
        <v>448</v>
      </c>
      <c r="BV37" s="84"/>
      <c r="BW37" s="84" t="s">
        <v>448</v>
      </c>
      <c r="BX37" s="84"/>
      <c r="BY37" s="84" t="s">
        <v>448</v>
      </c>
      <c r="BZ37" s="84"/>
      <c r="CA37" s="84" t="s">
        <v>448</v>
      </c>
      <c r="CB37" s="84"/>
      <c r="CC37" s="84" t="s">
        <v>448</v>
      </c>
      <c r="CD37" s="84"/>
      <c r="CE37" s="84" t="s">
        <v>448</v>
      </c>
      <c r="CF37" s="84"/>
      <c r="CG37" s="84" t="s">
        <v>448</v>
      </c>
      <c r="CH37" s="84"/>
      <c r="CI37" s="84" t="s">
        <v>448</v>
      </c>
      <c r="CJ37" s="84"/>
      <c r="CK37" s="84" t="s">
        <v>448</v>
      </c>
      <c r="CL37" s="84"/>
      <c r="CM37" s="84" t="s">
        <v>448</v>
      </c>
      <c r="CN37" s="84"/>
      <c r="CO37" s="84" t="s">
        <v>448</v>
      </c>
      <c r="CP37" s="84"/>
      <c r="CQ37" s="84" t="s">
        <v>448</v>
      </c>
      <c r="CR37" s="84"/>
      <c r="CS37" s="84" t="s">
        <v>448</v>
      </c>
      <c r="CT37" s="84"/>
      <c r="CU37" s="84" t="s">
        <v>448</v>
      </c>
      <c r="CV37" s="84"/>
      <c r="CW37" s="84" t="s">
        <v>448</v>
      </c>
      <c r="CX37" s="84"/>
      <c r="CY37" s="84" t="s">
        <v>448</v>
      </c>
      <c r="CZ37" s="84"/>
      <c r="DA37" s="84" t="s">
        <v>448</v>
      </c>
      <c r="DB37" s="84"/>
      <c r="DC37" s="84" t="s">
        <v>448</v>
      </c>
      <c r="DE37" s="221">
        <v>148</v>
      </c>
      <c r="DF37" s="221" t="s">
        <v>33</v>
      </c>
      <c r="DG37" s="221">
        <v>413400</v>
      </c>
      <c r="DH37" s="221">
        <v>15000</v>
      </c>
      <c r="DI37" s="221">
        <v>30700</v>
      </c>
      <c r="DJ37" s="221">
        <v>45700</v>
      </c>
    </row>
    <row r="38" spans="3:114" ht="18" customHeight="1">
      <c r="C38" s="580"/>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AZ38" s="798"/>
      <c r="BA38" s="798"/>
      <c r="BB38" s="798"/>
      <c r="BC38" s="799"/>
      <c r="BF38" s="325" t="s">
        <v>469</v>
      </c>
      <c r="BG38" s="326" t="s">
        <v>525</v>
      </c>
      <c r="BH38" s="98" t="s">
        <v>444</v>
      </c>
      <c r="BI38" s="98">
        <f>ABS(BI36-BI37)</f>
        <v>1283000</v>
      </c>
      <c r="BJ38" s="98" t="s">
        <v>448</v>
      </c>
      <c r="BK38" s="98" t="s">
        <v>448</v>
      </c>
      <c r="BL38" s="98"/>
      <c r="BM38" s="98" t="s">
        <v>448</v>
      </c>
      <c r="BN38" s="98"/>
      <c r="BO38" s="98" t="s">
        <v>448</v>
      </c>
      <c r="BP38" s="98"/>
      <c r="BQ38" s="98" t="s">
        <v>448</v>
      </c>
      <c r="BR38" s="98"/>
      <c r="BS38" s="98" t="s">
        <v>448</v>
      </c>
      <c r="BT38" s="98"/>
      <c r="BU38" s="98" t="s">
        <v>448</v>
      </c>
      <c r="BV38" s="98"/>
      <c r="BW38" s="98" t="s">
        <v>448</v>
      </c>
      <c r="BX38" s="98"/>
      <c r="BY38" s="98" t="s">
        <v>448</v>
      </c>
      <c r="BZ38" s="98"/>
      <c r="CA38" s="98" t="s">
        <v>448</v>
      </c>
      <c r="CB38" s="98"/>
      <c r="CC38" s="98" t="s">
        <v>448</v>
      </c>
      <c r="CD38" s="98"/>
      <c r="CE38" s="98" t="s">
        <v>448</v>
      </c>
      <c r="CF38" s="98"/>
      <c r="CG38" s="98" t="s">
        <v>448</v>
      </c>
      <c r="CH38" s="98"/>
      <c r="CI38" s="98" t="s">
        <v>448</v>
      </c>
      <c r="CJ38" s="98"/>
      <c r="CK38" s="98" t="s">
        <v>448</v>
      </c>
      <c r="CL38" s="98"/>
      <c r="CM38" s="98" t="s">
        <v>448</v>
      </c>
      <c r="CN38" s="98"/>
      <c r="CO38" s="98" t="s">
        <v>448</v>
      </c>
      <c r="CP38" s="98"/>
      <c r="CQ38" s="98" t="s">
        <v>448</v>
      </c>
      <c r="CR38" s="98"/>
      <c r="CS38" s="98" t="s">
        <v>448</v>
      </c>
      <c r="CT38" s="98"/>
      <c r="CU38" s="98" t="s">
        <v>448</v>
      </c>
      <c r="CV38" s="98"/>
      <c r="CW38" s="98" t="s">
        <v>448</v>
      </c>
      <c r="CX38" s="98"/>
      <c r="CY38" s="98" t="s">
        <v>448</v>
      </c>
      <c r="CZ38" s="98"/>
      <c r="DA38" s="98" t="s">
        <v>448</v>
      </c>
      <c r="DB38" s="98"/>
      <c r="DC38" s="98" t="s">
        <v>448</v>
      </c>
      <c r="DE38" s="221">
        <v>156</v>
      </c>
      <c r="DF38" s="221" t="s">
        <v>34</v>
      </c>
      <c r="DG38" s="221">
        <v>6192000</v>
      </c>
      <c r="DH38" s="221">
        <v>2813000</v>
      </c>
      <c r="DI38" s="221">
        <v>17170</v>
      </c>
      <c r="DJ38" s="221">
        <v>2840000</v>
      </c>
    </row>
    <row r="39" spans="3:114" ht="18" customHeight="1">
      <c r="C39" s="580"/>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AZ39" s="798"/>
      <c r="BA39" s="798"/>
      <c r="BB39" s="798"/>
      <c r="BC39" s="799"/>
      <c r="BF39" s="327" t="s">
        <v>429</v>
      </c>
      <c r="BG39" s="328" t="s">
        <v>430</v>
      </c>
      <c r="DE39" s="221">
        <v>344</v>
      </c>
      <c r="DF39" s="221" t="s">
        <v>35</v>
      </c>
      <c r="DG39" s="221"/>
      <c r="DH39" s="221"/>
      <c r="DI39" s="221"/>
      <c r="DJ39" s="221"/>
    </row>
    <row r="40" spans="3:114" ht="18" customHeight="1">
      <c r="C40" s="580"/>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AZ40" s="798"/>
      <c r="BA40" s="798"/>
      <c r="BB40" s="798"/>
      <c r="BC40" s="799"/>
      <c r="BF40" s="327" t="s">
        <v>431</v>
      </c>
      <c r="BG40" s="328" t="s">
        <v>432</v>
      </c>
      <c r="DE40" s="221">
        <v>446</v>
      </c>
      <c r="DF40" s="221" t="s">
        <v>36</v>
      </c>
      <c r="DG40" s="221"/>
      <c r="DH40" s="221"/>
      <c r="DI40" s="221"/>
      <c r="DJ40" s="221"/>
    </row>
    <row r="41" spans="3:114" ht="18" customHeight="1">
      <c r="C41" s="580"/>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8"/>
      <c r="AY41" s="798"/>
      <c r="AZ41" s="798"/>
      <c r="BA41" s="798"/>
      <c r="BB41" s="798"/>
      <c r="BC41" s="799"/>
      <c r="BF41" s="329" t="s">
        <v>434</v>
      </c>
      <c r="BG41" s="328" t="s">
        <v>436</v>
      </c>
      <c r="BH41" s="330"/>
      <c r="DE41" s="221">
        <v>170</v>
      </c>
      <c r="DF41" s="221" t="s">
        <v>37</v>
      </c>
      <c r="DG41" s="221">
        <v>3699000</v>
      </c>
      <c r="DH41" s="221">
        <v>2145000</v>
      </c>
      <c r="DI41" s="221">
        <v>215000</v>
      </c>
      <c r="DJ41" s="221">
        <v>2360000</v>
      </c>
    </row>
    <row r="42" spans="3:114" ht="18" customHeight="1">
      <c r="C42" s="580"/>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Y42" s="798"/>
      <c r="AZ42" s="798"/>
      <c r="BA42" s="798"/>
      <c r="BB42" s="798"/>
      <c r="BC42" s="799"/>
      <c r="BF42" s="329" t="s">
        <v>433</v>
      </c>
      <c r="BG42" s="328" t="s">
        <v>395</v>
      </c>
      <c r="BH42" s="330"/>
      <c r="DE42" s="221">
        <v>174</v>
      </c>
      <c r="DF42" s="221" t="s">
        <v>38</v>
      </c>
      <c r="DG42" s="221">
        <v>1675</v>
      </c>
      <c r="DH42" s="221">
        <v>1200</v>
      </c>
      <c r="DI42" s="221">
        <v>0</v>
      </c>
      <c r="DJ42" s="221">
        <v>1200</v>
      </c>
    </row>
    <row r="43" spans="3:114" ht="18" customHeight="1">
      <c r="C43" s="580"/>
      <c r="D43" s="797"/>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Y43" s="798"/>
      <c r="AZ43" s="798"/>
      <c r="BA43" s="798"/>
      <c r="BB43" s="798"/>
      <c r="BC43" s="799"/>
      <c r="BF43" s="327" t="s">
        <v>435</v>
      </c>
      <c r="BG43" s="328" t="s">
        <v>437</v>
      </c>
      <c r="BH43" s="330"/>
      <c r="DE43" s="221">
        <v>178</v>
      </c>
      <c r="DF43" s="221" t="s">
        <v>39</v>
      </c>
      <c r="DG43" s="221">
        <v>562900</v>
      </c>
      <c r="DH43" s="221">
        <v>222000</v>
      </c>
      <c r="DI43" s="221">
        <v>52000</v>
      </c>
      <c r="DJ43" s="221">
        <v>832000</v>
      </c>
    </row>
    <row r="44" spans="3:114" ht="18" customHeight="1">
      <c r="C44" s="580"/>
      <c r="D44" s="797"/>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8"/>
      <c r="AZ44" s="798"/>
      <c r="BA44" s="798"/>
      <c r="BB44" s="798"/>
      <c r="BC44" s="799"/>
      <c r="BH44" s="330"/>
      <c r="DE44" s="221">
        <v>188</v>
      </c>
      <c r="DF44" s="221" t="s">
        <v>40</v>
      </c>
      <c r="DG44" s="221">
        <v>149500</v>
      </c>
      <c r="DH44" s="221">
        <v>113000</v>
      </c>
      <c r="DI44" s="221">
        <v>0</v>
      </c>
      <c r="DJ44" s="221">
        <v>113000</v>
      </c>
    </row>
    <row r="45" spans="3:114" ht="18" customHeight="1">
      <c r="C45" s="580"/>
      <c r="D45" s="797"/>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8"/>
      <c r="AY45" s="798"/>
      <c r="AZ45" s="798"/>
      <c r="BA45" s="798"/>
      <c r="BB45" s="798"/>
      <c r="BC45" s="799"/>
      <c r="DE45" s="221">
        <v>384</v>
      </c>
      <c r="DF45" s="221" t="s">
        <v>142</v>
      </c>
      <c r="DG45" s="221">
        <v>434700</v>
      </c>
      <c r="DH45" s="221">
        <v>76840</v>
      </c>
      <c r="DI45" s="221">
        <v>4300</v>
      </c>
      <c r="DJ45" s="221">
        <v>84140</v>
      </c>
    </row>
    <row r="46" spans="3:114" ht="18" customHeight="1">
      <c r="C46" s="580"/>
      <c r="D46" s="797"/>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8"/>
      <c r="AY46" s="798"/>
      <c r="AZ46" s="798"/>
      <c r="BA46" s="798"/>
      <c r="BB46" s="798"/>
      <c r="BC46" s="799"/>
      <c r="BH46" s="330"/>
      <c r="DE46" s="221">
        <v>191</v>
      </c>
      <c r="DF46" s="221" t="s">
        <v>41</v>
      </c>
      <c r="DG46" s="221">
        <v>62980</v>
      </c>
      <c r="DH46" s="221">
        <v>37700</v>
      </c>
      <c r="DI46" s="221">
        <v>33470</v>
      </c>
      <c r="DJ46" s="221">
        <v>105500</v>
      </c>
    </row>
    <row r="47" spans="3:114" ht="18" customHeight="1">
      <c r="C47" s="580"/>
      <c r="D47" s="797"/>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798"/>
      <c r="AZ47" s="798"/>
      <c r="BA47" s="798"/>
      <c r="BB47" s="798"/>
      <c r="BC47" s="799"/>
      <c r="BF47" s="330"/>
      <c r="BG47" s="330"/>
      <c r="BH47" s="330"/>
      <c r="DE47" s="221">
        <v>192</v>
      </c>
      <c r="DF47" s="221" t="s">
        <v>42</v>
      </c>
      <c r="DG47" s="221">
        <v>146700</v>
      </c>
      <c r="DH47" s="221">
        <v>38120</v>
      </c>
      <c r="DI47" s="221">
        <v>0</v>
      </c>
      <c r="DJ47" s="221">
        <v>38120</v>
      </c>
    </row>
    <row r="48" spans="3:114" ht="18" customHeight="1">
      <c r="C48" s="580"/>
      <c r="D48" s="797"/>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8"/>
      <c r="AY48" s="798"/>
      <c r="AZ48" s="798"/>
      <c r="BA48" s="798"/>
      <c r="BB48" s="798"/>
      <c r="BC48" s="799"/>
      <c r="DE48" s="221">
        <v>196</v>
      </c>
      <c r="DF48" s="221" t="s">
        <v>43</v>
      </c>
      <c r="DG48" s="221">
        <v>4606</v>
      </c>
      <c r="DH48" s="221">
        <v>780</v>
      </c>
      <c r="DI48" s="221">
        <v>0</v>
      </c>
      <c r="DJ48" s="221">
        <v>780</v>
      </c>
    </row>
    <row r="49" spans="3:114" ht="18" customHeight="1">
      <c r="C49" s="580"/>
      <c r="D49" s="797"/>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8"/>
      <c r="AY49" s="798"/>
      <c r="AZ49" s="798"/>
      <c r="BA49" s="798"/>
      <c r="BB49" s="798"/>
      <c r="BC49" s="799"/>
      <c r="DE49" s="221">
        <v>408</v>
      </c>
      <c r="DF49" s="221" t="s">
        <v>143</v>
      </c>
      <c r="DG49" s="221">
        <v>127000</v>
      </c>
      <c r="DH49" s="221">
        <v>67000</v>
      </c>
      <c r="DI49" s="221">
        <v>0</v>
      </c>
      <c r="DJ49" s="221">
        <v>77150</v>
      </c>
    </row>
    <row r="50" spans="3:114" ht="18" customHeight="1">
      <c r="C50" s="580"/>
      <c r="D50" s="797"/>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8"/>
      <c r="AY50" s="798"/>
      <c r="AZ50" s="798"/>
      <c r="BA50" s="798"/>
      <c r="BB50" s="798"/>
      <c r="BC50" s="799"/>
      <c r="DE50" s="221">
        <v>180</v>
      </c>
      <c r="DF50" s="221" t="s">
        <v>144</v>
      </c>
      <c r="DG50" s="221">
        <v>3618000</v>
      </c>
      <c r="DH50" s="221">
        <v>900000</v>
      </c>
      <c r="DI50" s="221">
        <v>383000</v>
      </c>
      <c r="DJ50" s="221">
        <v>1283000</v>
      </c>
    </row>
    <row r="51" spans="3:114" ht="18" customHeight="1">
      <c r="C51" s="580"/>
      <c r="D51" s="797"/>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AZ51" s="798"/>
      <c r="BA51" s="798"/>
      <c r="BB51" s="798"/>
      <c r="BC51" s="799"/>
      <c r="DE51" s="221">
        <v>262</v>
      </c>
      <c r="DF51" s="221" t="s">
        <v>44</v>
      </c>
      <c r="DG51" s="221">
        <v>5104</v>
      </c>
      <c r="DH51" s="221">
        <v>300</v>
      </c>
      <c r="DI51" s="221">
        <v>0</v>
      </c>
      <c r="DJ51" s="221">
        <v>300</v>
      </c>
    </row>
    <row r="52" spans="3:114" ht="18" customHeight="1">
      <c r="C52" s="58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AZ52" s="798"/>
      <c r="BA52" s="798"/>
      <c r="BB52" s="798"/>
      <c r="BC52" s="799"/>
      <c r="DE52" s="221">
        <v>212</v>
      </c>
      <c r="DF52" s="221" t="s">
        <v>45</v>
      </c>
      <c r="DG52" s="221">
        <v>1562</v>
      </c>
      <c r="DH52" s="221">
        <v>200</v>
      </c>
      <c r="DI52" s="221">
        <v>0</v>
      </c>
      <c r="DJ52" s="221">
        <v>200</v>
      </c>
    </row>
    <row r="53" spans="3:114" ht="18" customHeight="1">
      <c r="C53" s="58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AZ53" s="798"/>
      <c r="BA53" s="798"/>
      <c r="BB53" s="798"/>
      <c r="BC53" s="799"/>
      <c r="DE53" s="221">
        <v>214</v>
      </c>
      <c r="DF53" s="221" t="s">
        <v>46</v>
      </c>
      <c r="DG53" s="221">
        <v>68620</v>
      </c>
      <c r="DH53" s="221">
        <v>23500</v>
      </c>
      <c r="DI53" s="221">
        <v>0</v>
      </c>
      <c r="DJ53" s="221">
        <v>23500</v>
      </c>
    </row>
    <row r="54" spans="3:114" ht="18" customHeight="1">
      <c r="C54" s="58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9"/>
      <c r="DE54" s="221">
        <v>218</v>
      </c>
      <c r="DF54" s="221" t="s">
        <v>47</v>
      </c>
      <c r="DG54" s="221">
        <v>583000</v>
      </c>
      <c r="DH54" s="221">
        <v>442400</v>
      </c>
      <c r="DI54" s="221">
        <v>0</v>
      </c>
      <c r="DJ54" s="221">
        <v>442400</v>
      </c>
    </row>
    <row r="55" spans="3:114" ht="18" customHeight="1">
      <c r="C55" s="58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AZ55" s="798"/>
      <c r="BA55" s="798"/>
      <c r="BB55" s="798"/>
      <c r="BC55" s="799"/>
      <c r="DE55" s="221">
        <v>818</v>
      </c>
      <c r="DF55" s="221" t="s">
        <v>48</v>
      </c>
      <c r="DG55" s="221">
        <v>51070</v>
      </c>
      <c r="DH55" s="221">
        <v>1800</v>
      </c>
      <c r="DI55" s="221">
        <v>84000</v>
      </c>
      <c r="DJ55" s="221">
        <v>58300</v>
      </c>
    </row>
    <row r="56" spans="3:114" ht="18" customHeight="1">
      <c r="C56" s="58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8"/>
      <c r="BC56" s="799"/>
      <c r="DE56" s="221">
        <v>222</v>
      </c>
      <c r="DF56" s="221" t="s">
        <v>49</v>
      </c>
      <c r="DG56" s="221">
        <v>37540</v>
      </c>
      <c r="DH56" s="221">
        <v>15630</v>
      </c>
      <c r="DI56" s="221">
        <v>10640</v>
      </c>
      <c r="DJ56" s="221">
        <v>26270</v>
      </c>
    </row>
    <row r="57" spans="3:114" ht="18" customHeight="1">
      <c r="C57" s="581"/>
      <c r="D57" s="800"/>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1"/>
      <c r="AY57" s="801"/>
      <c r="AZ57" s="801"/>
      <c r="BA57" s="801"/>
      <c r="BB57" s="801"/>
      <c r="BC57" s="802"/>
      <c r="DE57" s="221">
        <v>226</v>
      </c>
      <c r="DF57" s="221" t="s">
        <v>50</v>
      </c>
      <c r="DG57" s="221">
        <v>60480</v>
      </c>
      <c r="DH57" s="221">
        <v>26000</v>
      </c>
      <c r="DI57" s="221">
        <v>0</v>
      </c>
      <c r="DJ57" s="221">
        <v>26000</v>
      </c>
    </row>
    <row r="58" spans="3:114" ht="12.75">
      <c r="C58" s="795"/>
      <c r="D58" s="796"/>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218"/>
      <c r="AQ58" s="218"/>
      <c r="AR58" s="218"/>
      <c r="AS58" s="218"/>
      <c r="DE58" s="221">
        <v>232</v>
      </c>
      <c r="DF58" s="221" t="s">
        <v>51</v>
      </c>
      <c r="DG58" s="221">
        <v>45160</v>
      </c>
      <c r="DH58" s="221">
        <v>2800</v>
      </c>
      <c r="DI58" s="221">
        <v>700</v>
      </c>
      <c r="DJ58" s="221">
        <v>7315</v>
      </c>
    </row>
    <row r="59" spans="3:114" ht="12.75">
      <c r="C59" s="796"/>
      <c r="D59" s="796"/>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218"/>
      <c r="AQ59" s="218"/>
      <c r="AR59" s="218"/>
      <c r="AS59" s="218"/>
      <c r="DE59" s="221">
        <v>231</v>
      </c>
      <c r="DF59" s="221" t="s">
        <v>52</v>
      </c>
      <c r="DG59" s="221">
        <v>936400</v>
      </c>
      <c r="DH59" s="221">
        <v>122000</v>
      </c>
      <c r="DI59" s="221">
        <v>0</v>
      </c>
      <c r="DJ59" s="221">
        <v>122000</v>
      </c>
    </row>
    <row r="60" spans="109:114" ht="12.75">
      <c r="DE60" s="221">
        <v>234</v>
      </c>
      <c r="DF60" s="221" t="s">
        <v>560</v>
      </c>
      <c r="DG60" s="221"/>
      <c r="DH60" s="221"/>
      <c r="DI60" s="221">
        <v>0</v>
      </c>
      <c r="DJ60" s="221"/>
    </row>
    <row r="61" spans="109:114" ht="12.75">
      <c r="DE61" s="221">
        <v>242</v>
      </c>
      <c r="DF61" s="221" t="s">
        <v>53</v>
      </c>
      <c r="DG61" s="221">
        <v>47360</v>
      </c>
      <c r="DH61" s="221">
        <v>28550</v>
      </c>
      <c r="DI61" s="221">
        <v>0</v>
      </c>
      <c r="DJ61" s="221">
        <v>28550</v>
      </c>
    </row>
    <row r="62" spans="109:114" ht="12.75">
      <c r="DE62" s="221">
        <v>254</v>
      </c>
      <c r="DF62" s="221" t="s">
        <v>54</v>
      </c>
      <c r="DG62" s="221"/>
      <c r="DH62" s="221"/>
      <c r="DI62" s="221"/>
      <c r="DJ62" s="221"/>
    </row>
    <row r="63" spans="109:114" ht="12.75">
      <c r="DE63" s="221">
        <v>266</v>
      </c>
      <c r="DF63" s="221" t="s">
        <v>55</v>
      </c>
      <c r="DG63" s="221">
        <v>490100</v>
      </c>
      <c r="DH63" s="221">
        <v>164000</v>
      </c>
      <c r="DI63" s="221">
        <v>2000</v>
      </c>
      <c r="DJ63" s="221">
        <v>166000</v>
      </c>
    </row>
    <row r="64" spans="109:114" ht="12.75">
      <c r="DE64" s="221">
        <v>270</v>
      </c>
      <c r="DF64" s="221" t="s">
        <v>56</v>
      </c>
      <c r="DG64" s="221">
        <v>9447</v>
      </c>
      <c r="DH64" s="221">
        <v>3000</v>
      </c>
      <c r="DI64" s="221">
        <v>5000</v>
      </c>
      <c r="DJ64" s="221">
        <v>8000</v>
      </c>
    </row>
    <row r="65" spans="109:114" ht="12.75">
      <c r="DE65" s="221">
        <v>268</v>
      </c>
      <c r="DF65" s="221" t="s">
        <v>57</v>
      </c>
      <c r="DG65" s="221">
        <v>71510</v>
      </c>
      <c r="DH65" s="221">
        <v>58130</v>
      </c>
      <c r="DI65" s="221">
        <v>8350</v>
      </c>
      <c r="DJ65" s="221">
        <v>63330</v>
      </c>
    </row>
    <row r="66" spans="109:114" ht="12.75">
      <c r="DE66" s="221">
        <v>288</v>
      </c>
      <c r="DF66" s="221" t="s">
        <v>58</v>
      </c>
      <c r="DG66" s="221">
        <v>283100</v>
      </c>
      <c r="DH66" s="221">
        <v>30300</v>
      </c>
      <c r="DI66" s="221">
        <v>25900</v>
      </c>
      <c r="DJ66" s="221">
        <v>56200</v>
      </c>
    </row>
    <row r="67" spans="109:114" ht="12.75">
      <c r="DE67" s="221">
        <v>304</v>
      </c>
      <c r="DF67" s="221" t="s">
        <v>59</v>
      </c>
      <c r="DG67" s="221"/>
      <c r="DH67" s="221"/>
      <c r="DI67" s="221"/>
      <c r="DJ67" s="221"/>
    </row>
    <row r="68" spans="109:114" ht="12.75">
      <c r="DE68" s="221">
        <v>308</v>
      </c>
      <c r="DF68" s="221" t="s">
        <v>60</v>
      </c>
      <c r="DG68" s="221">
        <v>799</v>
      </c>
      <c r="DH68" s="221">
        <v>200</v>
      </c>
      <c r="DI68" s="221">
        <v>0</v>
      </c>
      <c r="DJ68" s="221">
        <v>200</v>
      </c>
    </row>
    <row r="69" spans="109:114" ht="12.75">
      <c r="DE69" s="221">
        <v>312</v>
      </c>
      <c r="DF69" s="221" t="s">
        <v>61</v>
      </c>
      <c r="DG69" s="221"/>
      <c r="DH69" s="221"/>
      <c r="DI69" s="221"/>
      <c r="DJ69" s="221"/>
    </row>
    <row r="70" spans="109:114" ht="12.75">
      <c r="DE70" s="221">
        <v>320</v>
      </c>
      <c r="DF70" s="221" t="s">
        <v>62</v>
      </c>
      <c r="DG70" s="221">
        <v>217300</v>
      </c>
      <c r="DH70" s="221">
        <v>109200</v>
      </c>
      <c r="DI70" s="221">
        <v>18710</v>
      </c>
      <c r="DJ70" s="221">
        <v>127900</v>
      </c>
    </row>
    <row r="71" spans="109:114" ht="12.75">
      <c r="DE71" s="221">
        <v>324</v>
      </c>
      <c r="DF71" s="221" t="s">
        <v>63</v>
      </c>
      <c r="DG71" s="221">
        <v>405900</v>
      </c>
      <c r="DH71" s="221">
        <v>226000</v>
      </c>
      <c r="DI71" s="221">
        <v>0</v>
      </c>
      <c r="DJ71" s="221">
        <v>226000</v>
      </c>
    </row>
    <row r="72" spans="109:114" ht="12.75">
      <c r="DE72" s="221">
        <v>624</v>
      </c>
      <c r="DF72" s="221" t="s">
        <v>64</v>
      </c>
      <c r="DG72" s="221">
        <v>56980</v>
      </c>
      <c r="DH72" s="221">
        <v>16000</v>
      </c>
      <c r="DI72" s="221">
        <v>15400</v>
      </c>
      <c r="DJ72" s="221">
        <v>31400</v>
      </c>
    </row>
    <row r="73" spans="109:114" ht="12.75">
      <c r="DE73" s="221">
        <v>328</v>
      </c>
      <c r="DF73" s="221" t="s">
        <v>69</v>
      </c>
      <c r="DG73" s="221">
        <v>513100</v>
      </c>
      <c r="DH73" s="221">
        <v>241000</v>
      </c>
      <c r="DI73" s="221">
        <v>30000</v>
      </c>
      <c r="DJ73" s="221">
        <v>271000</v>
      </c>
    </row>
    <row r="74" spans="109:114" ht="12.75">
      <c r="DE74" s="221">
        <v>332</v>
      </c>
      <c r="DF74" s="221" t="s">
        <v>70</v>
      </c>
      <c r="DG74" s="221">
        <v>39960</v>
      </c>
      <c r="DH74" s="221">
        <v>13010</v>
      </c>
      <c r="DI74" s="221">
        <v>1014.9999999999999</v>
      </c>
      <c r="DJ74" s="221">
        <v>14030</v>
      </c>
    </row>
    <row r="75" spans="109:114" ht="12.75">
      <c r="DE75" s="221">
        <v>336</v>
      </c>
      <c r="DF75" s="221" t="s">
        <v>561</v>
      </c>
      <c r="DG75" s="221"/>
      <c r="DH75" s="221"/>
      <c r="DI75" s="221"/>
      <c r="DJ75" s="221"/>
    </row>
    <row r="76" spans="109:114" ht="12.75">
      <c r="DE76" s="221">
        <v>340</v>
      </c>
      <c r="DF76" s="221" t="s">
        <v>71</v>
      </c>
      <c r="DG76" s="221">
        <v>222300</v>
      </c>
      <c r="DH76" s="221">
        <v>90660</v>
      </c>
      <c r="DI76" s="221">
        <v>1504</v>
      </c>
      <c r="DJ76" s="221">
        <v>92160</v>
      </c>
    </row>
    <row r="77" spans="109:114" ht="12.75">
      <c r="DE77" s="221">
        <v>356</v>
      </c>
      <c r="DF77" s="221" t="s">
        <v>72</v>
      </c>
      <c r="DG77" s="221">
        <v>3560000</v>
      </c>
      <c r="DH77" s="221">
        <v>1446000</v>
      </c>
      <c r="DI77" s="221">
        <v>635200</v>
      </c>
      <c r="DJ77" s="221">
        <v>1911000</v>
      </c>
    </row>
    <row r="78" spans="109:114" ht="12.75">
      <c r="DE78" s="221">
        <v>360</v>
      </c>
      <c r="DF78" s="221" t="s">
        <v>73</v>
      </c>
      <c r="DG78" s="221">
        <v>5163000</v>
      </c>
      <c r="DH78" s="221">
        <v>2019000</v>
      </c>
      <c r="DI78" s="221">
        <v>0</v>
      </c>
      <c r="DJ78" s="221">
        <v>2019000</v>
      </c>
    </row>
    <row r="79" spans="109:114" ht="12.75">
      <c r="DE79" s="221">
        <v>364</v>
      </c>
      <c r="DF79" s="221" t="s">
        <v>74</v>
      </c>
      <c r="DG79" s="221">
        <v>397900</v>
      </c>
      <c r="DH79" s="221">
        <v>128500</v>
      </c>
      <c r="DI79" s="221">
        <v>7770</v>
      </c>
      <c r="DJ79" s="221">
        <v>137000</v>
      </c>
    </row>
    <row r="80" spans="109:114" ht="12.75">
      <c r="DE80" s="221">
        <v>368</v>
      </c>
      <c r="DF80" s="221" t="s">
        <v>75</v>
      </c>
      <c r="DG80" s="221">
        <v>93970</v>
      </c>
      <c r="DH80" s="221">
        <v>35200</v>
      </c>
      <c r="DI80" s="221">
        <v>61330</v>
      </c>
      <c r="DJ80" s="221">
        <v>89860</v>
      </c>
    </row>
    <row r="81" spans="109:114" ht="12.75">
      <c r="DE81" s="221">
        <v>376</v>
      </c>
      <c r="DF81" s="221" t="s">
        <v>76</v>
      </c>
      <c r="DG81" s="221">
        <v>9600</v>
      </c>
      <c r="DH81" s="221">
        <v>750</v>
      </c>
      <c r="DI81" s="221">
        <v>305</v>
      </c>
      <c r="DJ81" s="221">
        <v>1780</v>
      </c>
    </row>
    <row r="82" spans="109:114" ht="12.75">
      <c r="DE82" s="221">
        <v>388</v>
      </c>
      <c r="DF82" s="221" t="s">
        <v>77</v>
      </c>
      <c r="DG82" s="221">
        <v>22540</v>
      </c>
      <c r="DH82" s="221">
        <v>10820</v>
      </c>
      <c r="DI82" s="221">
        <v>0</v>
      </c>
      <c r="DJ82" s="221">
        <v>10820</v>
      </c>
    </row>
    <row r="83" spans="109:114" ht="12.75">
      <c r="DE83" s="221">
        <v>400</v>
      </c>
      <c r="DF83" s="221" t="s">
        <v>78</v>
      </c>
      <c r="DG83" s="221">
        <v>9915</v>
      </c>
      <c r="DH83" s="221">
        <v>682</v>
      </c>
      <c r="DI83" s="221">
        <v>400</v>
      </c>
      <c r="DJ83" s="221">
        <v>937</v>
      </c>
    </row>
    <row r="84" spans="109:114" ht="12.75">
      <c r="DE84" s="221">
        <v>398</v>
      </c>
      <c r="DF84" s="221" t="s">
        <v>79</v>
      </c>
      <c r="DG84" s="221">
        <v>681200</v>
      </c>
      <c r="DH84" s="221">
        <v>64349.99999999999</v>
      </c>
      <c r="DI84" s="221">
        <v>72040</v>
      </c>
      <c r="DJ84" s="221">
        <v>108400</v>
      </c>
    </row>
    <row r="85" spans="109:114" ht="12.75">
      <c r="DE85" s="221">
        <v>404</v>
      </c>
      <c r="DF85" s="221" t="s">
        <v>80</v>
      </c>
      <c r="DG85" s="221">
        <v>365600</v>
      </c>
      <c r="DH85" s="221">
        <v>20700</v>
      </c>
      <c r="DI85" s="221">
        <v>10000</v>
      </c>
      <c r="DJ85" s="221">
        <v>30700</v>
      </c>
    </row>
    <row r="86" spans="109:114" ht="12.75">
      <c r="DE86" s="221">
        <v>296</v>
      </c>
      <c r="DF86" s="221" t="s">
        <v>145</v>
      </c>
      <c r="DG86" s="221"/>
      <c r="DH86" s="221"/>
      <c r="DI86" s="221">
        <v>0</v>
      </c>
      <c r="DJ86" s="221"/>
    </row>
    <row r="87" spans="109:114" ht="12.75">
      <c r="DE87" s="221">
        <v>414</v>
      </c>
      <c r="DF87" s="221" t="s">
        <v>81</v>
      </c>
      <c r="DG87" s="221">
        <v>2156</v>
      </c>
      <c r="DH87" s="221">
        <v>0</v>
      </c>
      <c r="DI87" s="221">
        <v>0</v>
      </c>
      <c r="DJ87" s="221">
        <v>20</v>
      </c>
    </row>
    <row r="88" spans="109:114" ht="12.75">
      <c r="DE88" s="221">
        <v>417</v>
      </c>
      <c r="DF88" s="221" t="s">
        <v>82</v>
      </c>
      <c r="DG88" s="221">
        <v>106600</v>
      </c>
      <c r="DH88" s="221">
        <v>48930</v>
      </c>
      <c r="DI88" s="221">
        <v>558</v>
      </c>
      <c r="DJ88" s="221">
        <v>23620</v>
      </c>
    </row>
    <row r="89" spans="109:114" ht="12.75">
      <c r="DE89" s="221">
        <v>418</v>
      </c>
      <c r="DF89" s="221" t="s">
        <v>146</v>
      </c>
      <c r="DG89" s="221">
        <v>434300</v>
      </c>
      <c r="DH89" s="221">
        <v>190400</v>
      </c>
      <c r="DI89" s="221">
        <v>143100</v>
      </c>
      <c r="DJ89" s="221">
        <v>333500</v>
      </c>
    </row>
    <row r="90" spans="109:114" ht="12.75">
      <c r="DE90" s="221">
        <v>428</v>
      </c>
      <c r="DF90" s="221" t="s">
        <v>83</v>
      </c>
      <c r="DG90" s="221">
        <v>43010</v>
      </c>
      <c r="DH90" s="221">
        <v>16940</v>
      </c>
      <c r="DI90" s="221">
        <v>18000</v>
      </c>
      <c r="DJ90" s="221">
        <v>34940</v>
      </c>
    </row>
    <row r="91" spans="109:114" ht="12.75">
      <c r="DE91" s="221">
        <v>422</v>
      </c>
      <c r="DF91" s="221" t="s">
        <v>84</v>
      </c>
      <c r="DG91" s="221">
        <v>6907</v>
      </c>
      <c r="DH91" s="221">
        <v>4800</v>
      </c>
      <c r="DI91" s="221">
        <v>0</v>
      </c>
      <c r="DJ91" s="221">
        <v>4503</v>
      </c>
    </row>
    <row r="92" spans="109:114" ht="12.75">
      <c r="DE92" s="221">
        <v>426</v>
      </c>
      <c r="DF92" s="221" t="s">
        <v>85</v>
      </c>
      <c r="DG92" s="221">
        <v>23920</v>
      </c>
      <c r="DH92" s="221">
        <v>5230</v>
      </c>
      <c r="DI92" s="221">
        <v>0</v>
      </c>
      <c r="DJ92" s="221">
        <v>3022</v>
      </c>
    </row>
    <row r="93" spans="109:114" ht="12.75">
      <c r="DE93" s="221">
        <v>430</v>
      </c>
      <c r="DF93" s="221" t="s">
        <v>86</v>
      </c>
      <c r="DG93" s="221">
        <v>266300</v>
      </c>
      <c r="DH93" s="221">
        <v>200000</v>
      </c>
      <c r="DI93" s="221">
        <v>32000</v>
      </c>
      <c r="DJ93" s="221">
        <v>232000</v>
      </c>
    </row>
    <row r="94" spans="109:114" ht="12.75">
      <c r="DE94" s="221">
        <v>434</v>
      </c>
      <c r="DF94" s="221" t="s">
        <v>147</v>
      </c>
      <c r="DG94" s="221">
        <v>98530</v>
      </c>
      <c r="DH94" s="221">
        <v>700</v>
      </c>
      <c r="DI94" s="221">
        <v>0</v>
      </c>
      <c r="DJ94" s="221">
        <v>700</v>
      </c>
    </row>
    <row r="95" spans="109:114" ht="12.75">
      <c r="DE95" s="221">
        <v>438</v>
      </c>
      <c r="DF95" s="221" t="s">
        <v>148</v>
      </c>
      <c r="DG95" s="221"/>
      <c r="DH95" s="221"/>
      <c r="DI95" s="221"/>
      <c r="DJ95" s="221"/>
    </row>
    <row r="96" spans="109:114" ht="12.75">
      <c r="DE96" s="221">
        <v>440</v>
      </c>
      <c r="DF96" s="221" t="s">
        <v>87</v>
      </c>
      <c r="DG96" s="221">
        <v>42830</v>
      </c>
      <c r="DH96" s="221">
        <v>15460</v>
      </c>
      <c r="DI96" s="221">
        <v>9040</v>
      </c>
      <c r="DJ96" s="221">
        <v>24500</v>
      </c>
    </row>
    <row r="97" spans="109:114" ht="12.75">
      <c r="DE97" s="221">
        <v>450</v>
      </c>
      <c r="DF97" s="221" t="s">
        <v>88</v>
      </c>
      <c r="DG97" s="221">
        <v>888600</v>
      </c>
      <c r="DH97" s="221">
        <v>337000</v>
      </c>
      <c r="DI97" s="221">
        <v>0</v>
      </c>
      <c r="DJ97" s="221">
        <v>337000</v>
      </c>
    </row>
    <row r="98" spans="109:114" ht="12.75">
      <c r="DE98" s="221">
        <v>454</v>
      </c>
      <c r="DF98" s="221" t="s">
        <v>89</v>
      </c>
      <c r="DG98" s="221">
        <v>139900</v>
      </c>
      <c r="DH98" s="221">
        <v>16140</v>
      </c>
      <c r="DI98" s="221">
        <v>1000</v>
      </c>
      <c r="DJ98" s="221">
        <v>17280</v>
      </c>
    </row>
    <row r="99" spans="109:114" ht="12.75">
      <c r="DE99" s="221">
        <v>458</v>
      </c>
      <c r="DF99" s="221" t="s">
        <v>90</v>
      </c>
      <c r="DG99" s="221">
        <v>951000</v>
      </c>
      <c r="DH99" s="221">
        <v>580000</v>
      </c>
      <c r="DI99" s="221">
        <v>0</v>
      </c>
      <c r="DJ99" s="221">
        <v>580000</v>
      </c>
    </row>
    <row r="100" spans="109:114" ht="12.75">
      <c r="DE100" s="221">
        <v>462</v>
      </c>
      <c r="DF100" s="221" t="s">
        <v>91</v>
      </c>
      <c r="DG100" s="221">
        <v>591.6</v>
      </c>
      <c r="DH100" s="221">
        <v>30</v>
      </c>
      <c r="DI100" s="221">
        <v>0</v>
      </c>
      <c r="DJ100" s="221">
        <v>30</v>
      </c>
    </row>
    <row r="101" spans="109:114" ht="12.75">
      <c r="DE101" s="221">
        <v>466</v>
      </c>
      <c r="DF101" s="221" t="s">
        <v>92</v>
      </c>
      <c r="DG101" s="221">
        <v>349700</v>
      </c>
      <c r="DH101" s="221">
        <v>60000</v>
      </c>
      <c r="DI101" s="221">
        <v>60000</v>
      </c>
      <c r="DJ101" s="221">
        <v>120000</v>
      </c>
    </row>
    <row r="102" spans="109:114" ht="12.75">
      <c r="DE102" s="221">
        <v>470</v>
      </c>
      <c r="DF102" s="221" t="s">
        <v>93</v>
      </c>
      <c r="DG102" s="221">
        <v>179.2</v>
      </c>
      <c r="DH102" s="221">
        <v>50.5</v>
      </c>
      <c r="DI102" s="221">
        <v>0</v>
      </c>
      <c r="DJ102" s="221">
        <v>50.5</v>
      </c>
    </row>
    <row r="103" spans="109:114" ht="12.75">
      <c r="DE103" s="221">
        <v>584</v>
      </c>
      <c r="DF103" s="221" t="s">
        <v>149</v>
      </c>
      <c r="DG103" s="221"/>
      <c r="DH103" s="221"/>
      <c r="DI103" s="221">
        <v>0</v>
      </c>
      <c r="DJ103" s="221"/>
    </row>
    <row r="104" spans="109:114" ht="12.75">
      <c r="DE104" s="221">
        <v>474</v>
      </c>
      <c r="DF104" s="221" t="s">
        <v>94</v>
      </c>
      <c r="DG104" s="221"/>
      <c r="DH104" s="221"/>
      <c r="DI104" s="221"/>
      <c r="DJ104" s="221"/>
    </row>
    <row r="105" spans="109:114" ht="12.75">
      <c r="DE105" s="221">
        <v>478</v>
      </c>
      <c r="DF105" s="221" t="s">
        <v>95</v>
      </c>
      <c r="DG105" s="221">
        <v>94820</v>
      </c>
      <c r="DH105" s="221">
        <v>400</v>
      </c>
      <c r="DI105" s="221">
        <v>0</v>
      </c>
      <c r="DJ105" s="221">
        <v>11400</v>
      </c>
    </row>
    <row r="106" spans="109:114" ht="12.75">
      <c r="DE106" s="221">
        <v>480</v>
      </c>
      <c r="DF106" s="221" t="s">
        <v>96</v>
      </c>
      <c r="DG106" s="221">
        <v>4164</v>
      </c>
      <c r="DH106" s="221">
        <v>2751</v>
      </c>
      <c r="DI106" s="221">
        <v>0</v>
      </c>
      <c r="DJ106" s="221">
        <v>2751</v>
      </c>
    </row>
    <row r="107" spans="109:114" ht="12.75">
      <c r="DE107" s="221">
        <v>583</v>
      </c>
      <c r="DF107" s="221" t="s">
        <v>150</v>
      </c>
      <c r="DG107" s="221"/>
      <c r="DH107" s="221"/>
      <c r="DI107" s="221">
        <v>0</v>
      </c>
      <c r="DJ107" s="221"/>
    </row>
    <row r="108" spans="109:114" ht="12.75">
      <c r="DE108" s="221">
        <v>492</v>
      </c>
      <c r="DF108" s="221" t="s">
        <v>151</v>
      </c>
      <c r="DG108" s="221"/>
      <c r="DH108" s="221"/>
      <c r="DI108" s="221"/>
      <c r="DJ108" s="221"/>
    </row>
    <row r="109" spans="109:114" ht="12.75">
      <c r="DE109" s="221">
        <v>496</v>
      </c>
      <c r="DF109" s="221" t="s">
        <v>97</v>
      </c>
      <c r="DG109" s="221">
        <v>377000</v>
      </c>
      <c r="DH109" s="221">
        <v>34800</v>
      </c>
      <c r="DI109" s="221">
        <v>0</v>
      </c>
      <c r="DJ109" s="221">
        <v>34800</v>
      </c>
    </row>
    <row r="110" spans="109:114" ht="12.75">
      <c r="DE110" s="221">
        <v>499</v>
      </c>
      <c r="DF110" s="221" t="s">
        <v>152</v>
      </c>
      <c r="DG110" s="221"/>
      <c r="DH110" s="221"/>
      <c r="DI110" s="221"/>
      <c r="DJ110" s="221"/>
    </row>
    <row r="111" spans="109:114" ht="12.75">
      <c r="DE111" s="221">
        <v>504</v>
      </c>
      <c r="DF111" s="221" t="s">
        <v>98</v>
      </c>
      <c r="DG111" s="221">
        <v>154500</v>
      </c>
      <c r="DH111" s="221">
        <v>29000</v>
      </c>
      <c r="DI111" s="221">
        <v>0</v>
      </c>
      <c r="DJ111" s="221">
        <v>29000</v>
      </c>
    </row>
    <row r="112" spans="109:114" ht="12.75">
      <c r="DE112" s="221">
        <v>508</v>
      </c>
      <c r="DF112" s="221" t="s">
        <v>99</v>
      </c>
      <c r="DG112" s="221">
        <v>825000</v>
      </c>
      <c r="DH112" s="221">
        <v>100300</v>
      </c>
      <c r="DI112" s="221">
        <v>116800</v>
      </c>
      <c r="DJ112" s="221">
        <v>217100</v>
      </c>
    </row>
    <row r="113" spans="109:114" ht="12.75">
      <c r="DE113" s="221">
        <v>104</v>
      </c>
      <c r="DF113" s="221" t="s">
        <v>100</v>
      </c>
      <c r="DG113" s="221">
        <v>1415000</v>
      </c>
      <c r="DH113" s="221">
        <v>1003000</v>
      </c>
      <c r="DI113" s="221">
        <v>128199.99999999999</v>
      </c>
      <c r="DJ113" s="221">
        <v>1168000</v>
      </c>
    </row>
    <row r="114" spans="109:114" ht="12.75">
      <c r="DE114" s="221">
        <v>516</v>
      </c>
      <c r="DF114" s="221" t="s">
        <v>101</v>
      </c>
      <c r="DG114" s="221">
        <v>234900</v>
      </c>
      <c r="DH114" s="221">
        <v>6160</v>
      </c>
      <c r="DI114" s="221">
        <v>11000</v>
      </c>
      <c r="DJ114" s="221">
        <v>39910</v>
      </c>
    </row>
    <row r="115" spans="109:114" ht="12.75">
      <c r="DE115" s="221">
        <v>520</v>
      </c>
      <c r="DF115" s="221" t="s">
        <v>153</v>
      </c>
      <c r="DG115" s="221"/>
      <c r="DH115" s="221"/>
      <c r="DI115" s="221">
        <v>0</v>
      </c>
      <c r="DJ115" s="221"/>
    </row>
    <row r="116" spans="109:114" ht="12.75">
      <c r="DE116" s="221">
        <v>524</v>
      </c>
      <c r="DF116" s="221" t="s">
        <v>102</v>
      </c>
      <c r="DG116" s="221">
        <v>220800</v>
      </c>
      <c r="DH116" s="221">
        <v>198200</v>
      </c>
      <c r="DI116" s="221">
        <v>12000</v>
      </c>
      <c r="DJ116" s="221">
        <v>210200</v>
      </c>
    </row>
    <row r="117" spans="109:114" ht="12.75">
      <c r="DE117" s="221">
        <v>540</v>
      </c>
      <c r="DF117" s="221" t="s">
        <v>103</v>
      </c>
      <c r="DG117" s="221"/>
      <c r="DH117" s="221"/>
      <c r="DI117" s="221"/>
      <c r="DJ117" s="221"/>
    </row>
    <row r="118" spans="109:114" ht="12.75">
      <c r="DE118" s="221">
        <v>558</v>
      </c>
      <c r="DF118" s="221" t="s">
        <v>104</v>
      </c>
      <c r="DG118" s="221">
        <v>297200</v>
      </c>
      <c r="DH118" s="221">
        <v>156200</v>
      </c>
      <c r="DI118" s="221">
        <v>8310</v>
      </c>
      <c r="DJ118" s="221">
        <v>164500</v>
      </c>
    </row>
    <row r="119" spans="109:114" ht="12.75">
      <c r="DE119" s="221">
        <v>562</v>
      </c>
      <c r="DF119" s="221" t="s">
        <v>105</v>
      </c>
      <c r="DG119" s="221">
        <v>191300</v>
      </c>
      <c r="DH119" s="221">
        <v>3500</v>
      </c>
      <c r="DI119" s="221">
        <v>29200</v>
      </c>
      <c r="DJ119" s="221">
        <v>34050</v>
      </c>
    </row>
    <row r="120" spans="109:114" ht="12.75">
      <c r="DE120" s="221">
        <v>566</v>
      </c>
      <c r="DF120" s="221" t="s">
        <v>106</v>
      </c>
      <c r="DG120" s="221">
        <v>1062000</v>
      </c>
      <c r="DH120" s="221">
        <v>221000</v>
      </c>
      <c r="DI120" s="221">
        <v>65200</v>
      </c>
      <c r="DJ120" s="221">
        <v>286200</v>
      </c>
    </row>
    <row r="121" spans="109:114" ht="12.75">
      <c r="DE121" s="221">
        <v>570</v>
      </c>
      <c r="DF121" s="221" t="s">
        <v>562</v>
      </c>
      <c r="DG121" s="221"/>
      <c r="DH121" s="221"/>
      <c r="DI121" s="221">
        <v>0</v>
      </c>
      <c r="DJ121" s="221"/>
    </row>
    <row r="122" spans="109:114" ht="12.75">
      <c r="DE122" s="221">
        <v>275</v>
      </c>
      <c r="DF122" s="221" t="s">
        <v>563</v>
      </c>
      <c r="DG122" s="221">
        <v>2420</v>
      </c>
      <c r="DH122" s="221">
        <v>812</v>
      </c>
      <c r="DI122" s="221">
        <v>15</v>
      </c>
      <c r="DJ122" s="221">
        <v>837</v>
      </c>
    </row>
    <row r="123" spans="109:114" ht="12.75">
      <c r="DE123" s="221">
        <v>512</v>
      </c>
      <c r="DF123" s="221" t="s">
        <v>107</v>
      </c>
      <c r="DG123" s="221">
        <v>38690</v>
      </c>
      <c r="DH123" s="221">
        <v>1400</v>
      </c>
      <c r="DI123" s="221">
        <v>0</v>
      </c>
      <c r="DJ123" s="221">
        <v>1400</v>
      </c>
    </row>
    <row r="124" spans="109:114" ht="12.75">
      <c r="DE124" s="221">
        <v>586</v>
      </c>
      <c r="DF124" s="221" t="s">
        <v>108</v>
      </c>
      <c r="DG124" s="221">
        <v>393300</v>
      </c>
      <c r="DH124" s="221">
        <v>55000</v>
      </c>
      <c r="DI124" s="221">
        <v>265100</v>
      </c>
      <c r="DJ124" s="221">
        <v>246800</v>
      </c>
    </row>
    <row r="125" spans="109:114" ht="12.75">
      <c r="DE125" s="221">
        <v>585</v>
      </c>
      <c r="DF125" s="221" t="s">
        <v>154</v>
      </c>
      <c r="DG125" s="221"/>
      <c r="DH125" s="221"/>
      <c r="DI125" s="221">
        <v>0</v>
      </c>
      <c r="DJ125" s="221"/>
    </row>
    <row r="126" spans="109:114" ht="12.75">
      <c r="DE126" s="221">
        <v>591</v>
      </c>
      <c r="DF126" s="221" t="s">
        <v>109</v>
      </c>
      <c r="DG126" s="221">
        <v>220800</v>
      </c>
      <c r="DH126" s="221">
        <v>136600</v>
      </c>
      <c r="DI126" s="221">
        <v>0</v>
      </c>
      <c r="DJ126" s="221">
        <v>139300</v>
      </c>
    </row>
    <row r="127" spans="109:114" ht="12.75">
      <c r="DE127" s="221">
        <v>598</v>
      </c>
      <c r="DF127" s="221" t="s">
        <v>110</v>
      </c>
      <c r="DG127" s="221">
        <v>1454000</v>
      </c>
      <c r="DH127" s="221">
        <v>801000</v>
      </c>
      <c r="DI127" s="221">
        <v>0</v>
      </c>
      <c r="DJ127" s="221">
        <v>801000</v>
      </c>
    </row>
    <row r="128" spans="109:114" ht="12.75">
      <c r="DE128" s="221">
        <v>600</v>
      </c>
      <c r="DF128" s="221" t="s">
        <v>111</v>
      </c>
      <c r="DG128" s="221">
        <v>459600</v>
      </c>
      <c r="DH128" s="221">
        <v>117000</v>
      </c>
      <c r="DI128" s="221">
        <v>73270</v>
      </c>
      <c r="DJ128" s="221">
        <v>387800</v>
      </c>
    </row>
    <row r="129" spans="109:114" ht="12.75">
      <c r="DE129" s="221">
        <v>604</v>
      </c>
      <c r="DF129" s="221" t="s">
        <v>112</v>
      </c>
      <c r="DG129" s="221">
        <v>2234000</v>
      </c>
      <c r="DH129" s="221">
        <v>1641000</v>
      </c>
      <c r="DI129" s="221">
        <v>128800.00000000001</v>
      </c>
      <c r="DJ129" s="221">
        <v>1880000</v>
      </c>
    </row>
    <row r="130" spans="109:114" ht="12.75">
      <c r="DE130" s="221">
        <v>608</v>
      </c>
      <c r="DF130" s="221" t="s">
        <v>113</v>
      </c>
      <c r="DG130" s="221">
        <v>704400</v>
      </c>
      <c r="DH130" s="221">
        <v>479000</v>
      </c>
      <c r="DI130" s="221">
        <v>0</v>
      </c>
      <c r="DJ130" s="221">
        <v>479000</v>
      </c>
    </row>
    <row r="131" spans="109:114" ht="12.75">
      <c r="DE131" s="221">
        <v>630</v>
      </c>
      <c r="DF131" s="221" t="s">
        <v>114</v>
      </c>
      <c r="DG131" s="221">
        <v>18220</v>
      </c>
      <c r="DH131" s="221">
        <v>7100</v>
      </c>
      <c r="DI131" s="221">
        <v>0</v>
      </c>
      <c r="DJ131" s="221">
        <v>7100</v>
      </c>
    </row>
    <row r="132" spans="109:114" ht="12.75">
      <c r="DE132" s="221">
        <v>634</v>
      </c>
      <c r="DF132" s="221" t="s">
        <v>115</v>
      </c>
      <c r="DG132" s="221">
        <v>859.1</v>
      </c>
      <c r="DH132" s="221">
        <v>56</v>
      </c>
      <c r="DI132" s="221">
        <v>0</v>
      </c>
      <c r="DJ132" s="221">
        <v>58</v>
      </c>
    </row>
    <row r="133" spans="109:114" ht="12.75">
      <c r="DE133" s="221">
        <v>498</v>
      </c>
      <c r="DF133" s="221" t="s">
        <v>116</v>
      </c>
      <c r="DG133" s="221">
        <v>15230</v>
      </c>
      <c r="DH133" s="221">
        <v>1620</v>
      </c>
      <c r="DI133" s="221">
        <v>9200</v>
      </c>
      <c r="DJ133" s="221">
        <v>12270</v>
      </c>
    </row>
    <row r="134" spans="109:114" ht="12.75">
      <c r="DE134" s="221">
        <v>638</v>
      </c>
      <c r="DF134" s="221" t="s">
        <v>117</v>
      </c>
      <c r="DG134" s="221"/>
      <c r="DH134" s="221"/>
      <c r="DI134" s="221"/>
      <c r="DJ134" s="221"/>
    </row>
    <row r="135" spans="109:114" ht="12.75">
      <c r="DE135" s="221">
        <v>642</v>
      </c>
      <c r="DF135" s="221" t="s">
        <v>118</v>
      </c>
      <c r="DG135" s="221">
        <v>151900</v>
      </c>
      <c r="DH135" s="221">
        <v>42380</v>
      </c>
      <c r="DI135" s="221">
        <v>168100</v>
      </c>
      <c r="DJ135" s="221">
        <v>212000</v>
      </c>
    </row>
    <row r="136" spans="109:114" ht="12.75">
      <c r="DE136" s="221">
        <v>643</v>
      </c>
      <c r="DF136" s="221" t="s">
        <v>121</v>
      </c>
      <c r="DG136" s="221">
        <v>7865000</v>
      </c>
      <c r="DH136" s="221">
        <v>4312000</v>
      </c>
      <c r="DI136" s="221">
        <v>204600</v>
      </c>
      <c r="DJ136" s="221">
        <v>4525000</v>
      </c>
    </row>
    <row r="137" spans="109:114" ht="12.75">
      <c r="DE137" s="221">
        <v>646</v>
      </c>
      <c r="DF137" s="221" t="s">
        <v>122</v>
      </c>
      <c r="DG137" s="221">
        <v>31920</v>
      </c>
      <c r="DH137" s="221">
        <v>9500</v>
      </c>
      <c r="DI137" s="221">
        <v>3800</v>
      </c>
      <c r="DJ137" s="221">
        <v>13300</v>
      </c>
    </row>
    <row r="138" spans="109:114" ht="12.75">
      <c r="DE138" s="221">
        <v>654</v>
      </c>
      <c r="DF138" s="221" t="s">
        <v>123</v>
      </c>
      <c r="DG138" s="221"/>
      <c r="DH138" s="221"/>
      <c r="DI138" s="221"/>
      <c r="DJ138" s="221"/>
    </row>
    <row r="139" spans="109:114" ht="12.75">
      <c r="DE139" s="221">
        <v>659</v>
      </c>
      <c r="DF139" s="221" t="s">
        <v>124</v>
      </c>
      <c r="DG139" s="221">
        <v>371</v>
      </c>
      <c r="DH139" s="221">
        <v>24</v>
      </c>
      <c r="DI139" s="221">
        <v>0</v>
      </c>
      <c r="DJ139" s="221">
        <v>24</v>
      </c>
    </row>
    <row r="140" spans="109:114" ht="12.75">
      <c r="DE140" s="221">
        <v>662</v>
      </c>
      <c r="DF140" s="221" t="s">
        <v>125</v>
      </c>
      <c r="DG140" s="221">
        <v>1427</v>
      </c>
      <c r="DH140" s="221">
        <v>300</v>
      </c>
      <c r="DI140" s="221">
        <v>0</v>
      </c>
      <c r="DJ140" s="221">
        <v>300</v>
      </c>
    </row>
    <row r="141" spans="109:114" ht="12.75">
      <c r="DE141" s="221">
        <v>670</v>
      </c>
      <c r="DF141" s="221" t="s">
        <v>155</v>
      </c>
      <c r="DG141" s="221">
        <v>617.4</v>
      </c>
      <c r="DH141" s="221">
        <v>100</v>
      </c>
      <c r="DI141" s="221">
        <v>0</v>
      </c>
      <c r="DJ141" s="221">
        <v>100</v>
      </c>
    </row>
    <row r="142" spans="109:114" ht="12.75">
      <c r="DE142" s="221">
        <v>882</v>
      </c>
      <c r="DF142" s="221" t="s">
        <v>126</v>
      </c>
      <c r="DG142" s="221">
        <v>8179</v>
      </c>
      <c r="DH142" s="221"/>
      <c r="DI142" s="221">
        <v>0</v>
      </c>
      <c r="DJ142" s="221"/>
    </row>
    <row r="143" spans="109:114" ht="12.75">
      <c r="DE143" s="221">
        <v>674</v>
      </c>
      <c r="DF143" s="221" t="s">
        <v>156</v>
      </c>
      <c r="DG143" s="221"/>
      <c r="DH143" s="221"/>
      <c r="DI143" s="221"/>
      <c r="DJ143" s="221"/>
    </row>
    <row r="144" spans="109:114" ht="12.75">
      <c r="DE144" s="221">
        <v>678</v>
      </c>
      <c r="DF144" s="221" t="s">
        <v>349</v>
      </c>
      <c r="DG144" s="221">
        <v>3072</v>
      </c>
      <c r="DH144" s="221">
        <v>2180</v>
      </c>
      <c r="DI144" s="221">
        <v>0</v>
      </c>
      <c r="DJ144" s="221">
        <v>2180</v>
      </c>
    </row>
    <row r="145" spans="109:114" ht="12.75">
      <c r="DE145" s="221">
        <v>682</v>
      </c>
      <c r="DF145" s="221" t="s">
        <v>350</v>
      </c>
      <c r="DG145" s="221">
        <v>126800</v>
      </c>
      <c r="DH145" s="221">
        <v>2400</v>
      </c>
      <c r="DI145" s="221">
        <v>0</v>
      </c>
      <c r="DJ145" s="221">
        <v>2400</v>
      </c>
    </row>
    <row r="146" spans="109:114" ht="12.75">
      <c r="DE146" s="221">
        <v>686</v>
      </c>
      <c r="DF146" s="221" t="s">
        <v>351</v>
      </c>
      <c r="DG146" s="221">
        <v>134900</v>
      </c>
      <c r="DH146" s="221">
        <v>25800</v>
      </c>
      <c r="DI146" s="221">
        <v>2170</v>
      </c>
      <c r="DJ146" s="221">
        <v>38970</v>
      </c>
    </row>
    <row r="147" spans="109:114" ht="12.75">
      <c r="DE147" s="221">
        <v>891</v>
      </c>
      <c r="DF147" s="221" t="s">
        <v>157</v>
      </c>
      <c r="DG147" s="221">
        <v>49980</v>
      </c>
      <c r="DH147" s="221">
        <v>8407</v>
      </c>
      <c r="DI147" s="221"/>
      <c r="DJ147" s="221">
        <v>162200</v>
      </c>
    </row>
    <row r="148" spans="109:114" ht="12.75">
      <c r="DE148" s="221">
        <v>690</v>
      </c>
      <c r="DF148" s="221" t="s">
        <v>352</v>
      </c>
      <c r="DG148" s="221">
        <v>1072</v>
      </c>
      <c r="DH148" s="221"/>
      <c r="DI148" s="221">
        <v>0</v>
      </c>
      <c r="DJ148" s="221"/>
    </row>
    <row r="149" spans="109:114" ht="12.75">
      <c r="DE149" s="221">
        <v>694</v>
      </c>
      <c r="DF149" s="221" t="s">
        <v>353</v>
      </c>
      <c r="DG149" s="221">
        <v>182600</v>
      </c>
      <c r="DH149" s="221">
        <v>160000</v>
      </c>
      <c r="DI149" s="221">
        <v>0</v>
      </c>
      <c r="DJ149" s="221">
        <v>160000</v>
      </c>
    </row>
    <row r="150" spans="109:114" ht="12.75">
      <c r="DE150" s="221">
        <v>702</v>
      </c>
      <c r="DF150" s="221" t="s">
        <v>354</v>
      </c>
      <c r="DG150" s="221">
        <v>1795</v>
      </c>
      <c r="DH150" s="221">
        <v>600</v>
      </c>
      <c r="DI150" s="221">
        <v>0</v>
      </c>
      <c r="DJ150" s="221">
        <v>600</v>
      </c>
    </row>
    <row r="151" spans="109:114" ht="12.75">
      <c r="DE151" s="221">
        <v>703</v>
      </c>
      <c r="DF151" s="221" t="s">
        <v>355</v>
      </c>
      <c r="DG151" s="221">
        <v>40410</v>
      </c>
      <c r="DH151" s="221">
        <v>12600</v>
      </c>
      <c r="DI151" s="221">
        <v>0</v>
      </c>
      <c r="DJ151" s="221">
        <v>50100</v>
      </c>
    </row>
    <row r="152" spans="109:114" ht="12.75">
      <c r="DE152" s="221">
        <v>90</v>
      </c>
      <c r="DF152" s="221" t="s">
        <v>356</v>
      </c>
      <c r="DG152" s="221">
        <v>87510</v>
      </c>
      <c r="DH152" s="221">
        <v>44700</v>
      </c>
      <c r="DI152" s="221">
        <v>0</v>
      </c>
      <c r="DJ152" s="221">
        <v>44700</v>
      </c>
    </row>
    <row r="153" spans="109:114" ht="12.75">
      <c r="DE153" s="221">
        <v>706</v>
      </c>
      <c r="DF153" s="221" t="s">
        <v>357</v>
      </c>
      <c r="DG153" s="221">
        <v>179800</v>
      </c>
      <c r="DH153" s="221">
        <v>6000</v>
      </c>
      <c r="DI153" s="221">
        <v>8700</v>
      </c>
      <c r="DJ153" s="221">
        <v>14700</v>
      </c>
    </row>
    <row r="154" spans="109:114" ht="12.75">
      <c r="DE154" s="221">
        <v>710</v>
      </c>
      <c r="DF154" s="221" t="s">
        <v>358</v>
      </c>
      <c r="DG154" s="221">
        <v>603400</v>
      </c>
      <c r="DH154" s="221">
        <v>44800</v>
      </c>
      <c r="DI154" s="221">
        <v>6600</v>
      </c>
      <c r="DJ154" s="221">
        <v>51350</v>
      </c>
    </row>
    <row r="155" spans="109:114" ht="12.75">
      <c r="DE155" s="221">
        <v>728</v>
      </c>
      <c r="DF155" s="221" t="s">
        <v>564</v>
      </c>
      <c r="DG155" s="221">
        <v>579900</v>
      </c>
      <c r="DH155" s="221">
        <v>26000</v>
      </c>
      <c r="DI155" s="221">
        <v>50000</v>
      </c>
      <c r="DJ155" s="221">
        <v>49500</v>
      </c>
    </row>
    <row r="156" spans="109:114" ht="12.75">
      <c r="DE156" s="221">
        <v>144</v>
      </c>
      <c r="DF156" s="221" t="s">
        <v>359</v>
      </c>
      <c r="DG156" s="221">
        <v>112300</v>
      </c>
      <c r="DH156" s="221">
        <v>52800</v>
      </c>
      <c r="DI156" s="221">
        <v>0</v>
      </c>
      <c r="DJ156" s="221">
        <v>52800</v>
      </c>
    </row>
    <row r="157" spans="109:114" ht="12.75">
      <c r="DE157" s="221">
        <v>729</v>
      </c>
      <c r="DF157" s="221" t="s">
        <v>565</v>
      </c>
      <c r="DG157" s="221">
        <v>469800</v>
      </c>
      <c r="DH157" s="221">
        <v>4000</v>
      </c>
      <c r="DI157" s="221">
        <v>99300</v>
      </c>
      <c r="DJ157" s="221">
        <v>37800</v>
      </c>
    </row>
    <row r="158" spans="109:114" ht="12.75">
      <c r="DE158" s="221">
        <v>740</v>
      </c>
      <c r="DF158" s="221" t="s">
        <v>360</v>
      </c>
      <c r="DG158" s="221">
        <v>381900</v>
      </c>
      <c r="DH158" s="221">
        <v>99000</v>
      </c>
      <c r="DI158" s="221">
        <v>0</v>
      </c>
      <c r="DJ158" s="221">
        <v>99000</v>
      </c>
    </row>
    <row r="159" spans="109:114" ht="12.75">
      <c r="DE159" s="221">
        <v>748</v>
      </c>
      <c r="DF159" s="221" t="s">
        <v>361</v>
      </c>
      <c r="DG159" s="221">
        <v>13680</v>
      </c>
      <c r="DH159" s="221">
        <v>2640</v>
      </c>
      <c r="DI159" s="221">
        <v>1870</v>
      </c>
      <c r="DJ159" s="221">
        <v>4510</v>
      </c>
    </row>
    <row r="160" spans="109:114" ht="12.75">
      <c r="DE160" s="221">
        <v>760</v>
      </c>
      <c r="DF160" s="221" t="s">
        <v>362</v>
      </c>
      <c r="DG160" s="221">
        <v>46670</v>
      </c>
      <c r="DH160" s="221">
        <v>7132</v>
      </c>
      <c r="DI160" s="221">
        <v>28520</v>
      </c>
      <c r="DJ160" s="221">
        <v>16800</v>
      </c>
    </row>
    <row r="161" spans="109:114" ht="12.75">
      <c r="DE161" s="221">
        <v>762</v>
      </c>
      <c r="DF161" s="221" t="s">
        <v>363</v>
      </c>
      <c r="DG161" s="221">
        <v>97690</v>
      </c>
      <c r="DH161" s="221">
        <v>63460</v>
      </c>
      <c r="DI161" s="221">
        <v>34190</v>
      </c>
      <c r="DJ161" s="221">
        <v>21910</v>
      </c>
    </row>
    <row r="162" spans="109:114" ht="12.75">
      <c r="DE162" s="221">
        <v>764</v>
      </c>
      <c r="DF162" s="221" t="s">
        <v>364</v>
      </c>
      <c r="DG162" s="221">
        <v>832300</v>
      </c>
      <c r="DH162" s="221">
        <v>224500</v>
      </c>
      <c r="DI162" s="221">
        <v>0</v>
      </c>
      <c r="DJ162" s="221">
        <v>438600</v>
      </c>
    </row>
    <row r="163" spans="109:114" ht="12.75">
      <c r="DE163" s="221">
        <v>807</v>
      </c>
      <c r="DF163" s="221" t="s">
        <v>158</v>
      </c>
      <c r="DG163" s="221">
        <v>15910</v>
      </c>
      <c r="DH163" s="221">
        <v>5400</v>
      </c>
      <c r="DI163" s="221">
        <v>1000</v>
      </c>
      <c r="DJ163" s="221">
        <v>6400</v>
      </c>
    </row>
    <row r="164" spans="109:114" ht="12.75">
      <c r="DE164" s="221">
        <v>626</v>
      </c>
      <c r="DF164" s="221" t="s">
        <v>159</v>
      </c>
      <c r="DG164" s="221">
        <v>22300</v>
      </c>
      <c r="DH164" s="221">
        <v>8215</v>
      </c>
      <c r="DI164" s="221">
        <v>0</v>
      </c>
      <c r="DJ164" s="221">
        <v>8215</v>
      </c>
    </row>
    <row r="165" spans="109:114" ht="12.75">
      <c r="DE165" s="221">
        <v>768</v>
      </c>
      <c r="DF165" s="221" t="s">
        <v>365</v>
      </c>
      <c r="DG165" s="221">
        <v>66330</v>
      </c>
      <c r="DH165" s="221">
        <v>11500</v>
      </c>
      <c r="DI165" s="221">
        <v>3200</v>
      </c>
      <c r="DJ165" s="221">
        <v>14700</v>
      </c>
    </row>
    <row r="166" spans="109:114" ht="12.75">
      <c r="DE166" s="221">
        <v>772</v>
      </c>
      <c r="DF166" s="221" t="s">
        <v>566</v>
      </c>
      <c r="DG166" s="221"/>
      <c r="DH166" s="221"/>
      <c r="DI166" s="221">
        <v>0</v>
      </c>
      <c r="DJ166" s="221"/>
    </row>
    <row r="167" spans="109:114" ht="12.75">
      <c r="DE167" s="221">
        <v>776</v>
      </c>
      <c r="DF167" s="221" t="s">
        <v>366</v>
      </c>
      <c r="DG167" s="221"/>
      <c r="DH167" s="221"/>
      <c r="DI167" s="221">
        <v>0</v>
      </c>
      <c r="DJ167" s="221"/>
    </row>
    <row r="168" spans="109:114" ht="12.75">
      <c r="DE168" s="221">
        <v>780</v>
      </c>
      <c r="DF168" s="221" t="s">
        <v>367</v>
      </c>
      <c r="DG168" s="221">
        <v>11290</v>
      </c>
      <c r="DH168" s="221">
        <v>3840</v>
      </c>
      <c r="DI168" s="221">
        <v>0</v>
      </c>
      <c r="DJ168" s="221">
        <v>3840</v>
      </c>
    </row>
    <row r="169" spans="109:114" ht="12.75">
      <c r="DE169" s="221">
        <v>788</v>
      </c>
      <c r="DF169" s="221" t="s">
        <v>368</v>
      </c>
      <c r="DG169" s="221">
        <v>33870</v>
      </c>
      <c r="DH169" s="221">
        <v>4195</v>
      </c>
      <c r="DI169" s="221">
        <v>320</v>
      </c>
      <c r="DJ169" s="221">
        <v>4615</v>
      </c>
    </row>
    <row r="170" spans="109:114" ht="12.75">
      <c r="DE170" s="221">
        <v>795</v>
      </c>
      <c r="DF170" s="221" t="s">
        <v>369</v>
      </c>
      <c r="DG170" s="221">
        <v>78580</v>
      </c>
      <c r="DH170" s="221">
        <v>1405</v>
      </c>
      <c r="DI170" s="221">
        <v>80200</v>
      </c>
      <c r="DJ170" s="221">
        <v>24770</v>
      </c>
    </row>
    <row r="171" spans="109:114" ht="12.75">
      <c r="DE171" s="221">
        <v>798</v>
      </c>
      <c r="DF171" s="221" t="s">
        <v>160</v>
      </c>
      <c r="DG171" s="221"/>
      <c r="DH171" s="221"/>
      <c r="DI171" s="221">
        <v>0</v>
      </c>
      <c r="DJ171" s="221"/>
    </row>
    <row r="172" spans="109:114" ht="12.75">
      <c r="DE172" s="221">
        <v>800</v>
      </c>
      <c r="DF172" s="221" t="s">
        <v>370</v>
      </c>
      <c r="DG172" s="221">
        <v>285000</v>
      </c>
      <c r="DH172" s="221">
        <v>39000</v>
      </c>
      <c r="DI172" s="221">
        <v>21100</v>
      </c>
      <c r="DJ172" s="221">
        <v>60100</v>
      </c>
    </row>
    <row r="173" spans="109:114" ht="12.75">
      <c r="DE173" s="221">
        <v>804</v>
      </c>
      <c r="DF173" s="221" t="s">
        <v>371</v>
      </c>
      <c r="DG173" s="221">
        <v>341000</v>
      </c>
      <c r="DH173" s="221">
        <v>55100</v>
      </c>
      <c r="DI173" s="221">
        <v>36130</v>
      </c>
      <c r="DJ173" s="221">
        <v>175300</v>
      </c>
    </row>
    <row r="174" spans="109:114" ht="12.75">
      <c r="DE174" s="221">
        <v>784</v>
      </c>
      <c r="DF174" s="221" t="s">
        <v>372</v>
      </c>
      <c r="DG174" s="221">
        <v>6521</v>
      </c>
      <c r="DH174" s="221">
        <v>150</v>
      </c>
      <c r="DI174" s="221">
        <v>0</v>
      </c>
      <c r="DJ174" s="221">
        <v>150</v>
      </c>
    </row>
    <row r="175" spans="109:114" ht="12.75">
      <c r="DE175" s="221">
        <v>834</v>
      </c>
      <c r="DF175" s="221" t="s">
        <v>161</v>
      </c>
      <c r="DG175" s="221">
        <v>1015000</v>
      </c>
      <c r="DH175" s="221">
        <v>84000</v>
      </c>
      <c r="DI175" s="221">
        <v>12270</v>
      </c>
      <c r="DJ175" s="221">
        <v>96270</v>
      </c>
    </row>
    <row r="176" spans="109:114" ht="12.75">
      <c r="DE176" s="221">
        <v>858</v>
      </c>
      <c r="DF176" s="221" t="s">
        <v>374</v>
      </c>
      <c r="DG176" s="221">
        <v>229100</v>
      </c>
      <c r="DH176" s="221">
        <v>92200</v>
      </c>
      <c r="DI176" s="221">
        <v>5000</v>
      </c>
      <c r="DJ176" s="221">
        <v>172200</v>
      </c>
    </row>
    <row r="177" spans="109:114" ht="12.75">
      <c r="DE177" s="221">
        <v>860</v>
      </c>
      <c r="DF177" s="221" t="s">
        <v>375</v>
      </c>
      <c r="DG177" s="221">
        <v>92160</v>
      </c>
      <c r="DH177" s="221">
        <v>16340</v>
      </c>
      <c r="DI177" s="221">
        <v>102200</v>
      </c>
      <c r="DJ177" s="221">
        <v>48870</v>
      </c>
    </row>
    <row r="178" spans="109:114" ht="12.75">
      <c r="DE178" s="221">
        <v>548</v>
      </c>
      <c r="DF178" s="221" t="s">
        <v>162</v>
      </c>
      <c r="DG178" s="221">
        <v>24380</v>
      </c>
      <c r="DH178" s="221">
        <v>10000</v>
      </c>
      <c r="DI178" s="221">
        <v>0</v>
      </c>
      <c r="DJ178" s="221">
        <v>10000</v>
      </c>
    </row>
    <row r="179" spans="109:114" ht="12.75">
      <c r="DE179" s="221">
        <v>862</v>
      </c>
      <c r="DF179" s="221" t="s">
        <v>163</v>
      </c>
      <c r="DG179" s="221">
        <v>1864000</v>
      </c>
      <c r="DH179" s="221">
        <v>805000</v>
      </c>
      <c r="DI179" s="221">
        <v>495000</v>
      </c>
      <c r="DJ179" s="221">
        <v>1325000</v>
      </c>
    </row>
    <row r="180" spans="109:114" ht="12.75">
      <c r="DE180" s="221">
        <v>704</v>
      </c>
      <c r="DF180" s="221" t="s">
        <v>376</v>
      </c>
      <c r="DG180" s="221">
        <v>602700</v>
      </c>
      <c r="DH180" s="221">
        <v>359400</v>
      </c>
      <c r="DI180" s="221">
        <v>524700</v>
      </c>
      <c r="DJ180" s="221">
        <v>884100</v>
      </c>
    </row>
    <row r="181" spans="109:114" ht="12.75">
      <c r="DE181" s="221">
        <v>887</v>
      </c>
      <c r="DF181" s="221" t="s">
        <v>377</v>
      </c>
      <c r="DG181" s="221">
        <v>88170</v>
      </c>
      <c r="DH181" s="221">
        <v>2100</v>
      </c>
      <c r="DI181" s="221">
        <v>0</v>
      </c>
      <c r="DJ181" s="221">
        <v>2100</v>
      </c>
    </row>
    <row r="182" spans="109:114" ht="12.75">
      <c r="DE182" s="221">
        <v>894</v>
      </c>
      <c r="DF182" s="221" t="s">
        <v>378</v>
      </c>
      <c r="DG182" s="221">
        <v>767700</v>
      </c>
      <c r="DH182" s="221">
        <v>80200</v>
      </c>
      <c r="DI182" s="221">
        <v>24600</v>
      </c>
      <c r="DJ182" s="221">
        <v>104800</v>
      </c>
    </row>
    <row r="183" spans="109:114" ht="12.75">
      <c r="DE183" s="221">
        <v>716</v>
      </c>
      <c r="DF183" s="221" t="s">
        <v>379</v>
      </c>
      <c r="DG183" s="221">
        <v>256700</v>
      </c>
      <c r="DH183" s="221">
        <v>12260</v>
      </c>
      <c r="DI183" s="221">
        <v>0</v>
      </c>
      <c r="DJ183" s="221">
        <v>20000</v>
      </c>
    </row>
    <row r="209" spans="109:114" ht="12.75">
      <c r="DE209" s="231"/>
      <c r="DF209" s="232"/>
      <c r="DG209" s="231"/>
      <c r="DH209" s="231"/>
      <c r="DI209" s="231"/>
      <c r="DJ209" s="231"/>
    </row>
    <row r="210" spans="109:114" ht="12.75">
      <c r="DE210" s="231"/>
      <c r="DF210" s="232"/>
      <c r="DG210" s="231"/>
      <c r="DH210" s="231"/>
      <c r="DI210" s="231"/>
      <c r="DJ210" s="231"/>
    </row>
    <row r="211" spans="109:114" ht="12.75">
      <c r="DE211" s="231"/>
      <c r="DF211" s="232"/>
      <c r="DG211" s="231"/>
      <c r="DH211" s="231"/>
      <c r="DI211" s="231"/>
      <c r="DJ211" s="231"/>
    </row>
  </sheetData>
  <sheetProtection formatCells="0" formatColumns="0" formatRows="0" insertColumns="0"/>
  <mergeCells count="49">
    <mergeCell ref="D41:BC41"/>
    <mergeCell ref="D46:BC46"/>
    <mergeCell ref="AK30:AN30"/>
    <mergeCell ref="D38:BC38"/>
    <mergeCell ref="D39:BC39"/>
    <mergeCell ref="D40:BC40"/>
    <mergeCell ref="D37:BC37"/>
    <mergeCell ref="D36:BC36"/>
    <mergeCell ref="C33:BC33"/>
    <mergeCell ref="D35:BC35"/>
    <mergeCell ref="D47:BC47"/>
    <mergeCell ref="D48:BC48"/>
    <mergeCell ref="D49:BC49"/>
    <mergeCell ref="D42:BC42"/>
    <mergeCell ref="D43:BC43"/>
    <mergeCell ref="D44:BC44"/>
    <mergeCell ref="D45:BC45"/>
    <mergeCell ref="C58:AO59"/>
    <mergeCell ref="D54:BC54"/>
    <mergeCell ref="D55:BC55"/>
    <mergeCell ref="D56:BC56"/>
    <mergeCell ref="D57:BC57"/>
    <mergeCell ref="D50:BC50"/>
    <mergeCell ref="D51:BC51"/>
    <mergeCell ref="D52:BC52"/>
    <mergeCell ref="D53:BC53"/>
    <mergeCell ref="D23:BC23"/>
    <mergeCell ref="D24:BC24"/>
    <mergeCell ref="AK31:AN31"/>
    <mergeCell ref="AT29:BC29"/>
    <mergeCell ref="AB26:AE26"/>
    <mergeCell ref="AJ26:AN26"/>
    <mergeCell ref="AD28:AL28"/>
    <mergeCell ref="AT31:BC31"/>
    <mergeCell ref="AB30:AE30"/>
    <mergeCell ref="W31:AD31"/>
    <mergeCell ref="C4:BC4"/>
    <mergeCell ref="D22:BC22"/>
    <mergeCell ref="C5:AT5"/>
    <mergeCell ref="AL6:BB6"/>
    <mergeCell ref="DE5:DJ5"/>
    <mergeCell ref="D20:BC20"/>
    <mergeCell ref="D21:BC21"/>
    <mergeCell ref="F26:I26"/>
    <mergeCell ref="M26:Q26"/>
    <mergeCell ref="H28:O28"/>
    <mergeCell ref="F30:I30"/>
    <mergeCell ref="N30:Q30"/>
    <mergeCell ref="W29:AD29"/>
  </mergeCells>
  <conditionalFormatting sqref="F10">
    <cfRule type="cellIs" priority="78" dxfId="366" operator="lessThan" stopIfTrue="1">
      <formula>F8-F9-(0.01*(F8-F9))</formula>
    </cfRule>
  </conditionalFormatting>
  <conditionalFormatting sqref="F12">
    <cfRule type="cellIs" priority="79" dxfId="366" operator="lessThan" stopIfTrue="1">
      <formula>F10+F11-(0.01*(F10+F11))</formula>
    </cfRule>
  </conditionalFormatting>
  <conditionalFormatting sqref="F13">
    <cfRule type="cellIs" priority="80" dxfId="366" operator="lessThan" stopIfTrue="1">
      <formula>0.99*(F14+F15)</formula>
    </cfRule>
  </conditionalFormatting>
  <conditionalFormatting sqref="H10">
    <cfRule type="cellIs" priority="76" dxfId="366" operator="lessThan" stopIfTrue="1">
      <formula>H8-H9-(0.01*(H8-H9))</formula>
    </cfRule>
  </conditionalFormatting>
  <conditionalFormatting sqref="H12">
    <cfRule type="cellIs" priority="77" dxfId="366" operator="lessThan" stopIfTrue="1">
      <formula>H10+H11-(0.01*(H10+H11))</formula>
    </cfRule>
  </conditionalFormatting>
  <conditionalFormatting sqref="J10">
    <cfRule type="cellIs" priority="74" dxfId="366" operator="lessThan" stopIfTrue="1">
      <formula>J8-J9-(0.01*(J8-J9))</formula>
    </cfRule>
  </conditionalFormatting>
  <conditionalFormatting sqref="J12">
    <cfRule type="cellIs" priority="75" dxfId="366" operator="lessThan" stopIfTrue="1">
      <formula>J10+J11-(0.01*(J10+J11))</formula>
    </cfRule>
  </conditionalFormatting>
  <conditionalFormatting sqref="L10">
    <cfRule type="cellIs" priority="72" dxfId="366" operator="lessThan" stopIfTrue="1">
      <formula>L8-L9-(0.01*(L8-L9))</formula>
    </cfRule>
  </conditionalFormatting>
  <conditionalFormatting sqref="L12">
    <cfRule type="cellIs" priority="73" dxfId="366" operator="lessThan" stopIfTrue="1">
      <formula>L10+L11-(0.01*(L10+L11))</formula>
    </cfRule>
  </conditionalFormatting>
  <conditionalFormatting sqref="N10">
    <cfRule type="cellIs" priority="70" dxfId="366" operator="lessThan" stopIfTrue="1">
      <formula>N8-N9-(0.01*(N8-N9))</formula>
    </cfRule>
  </conditionalFormatting>
  <conditionalFormatting sqref="N12">
    <cfRule type="cellIs" priority="71" dxfId="366" operator="lessThan" stopIfTrue="1">
      <formula>N10+N11-(0.01*(N10+N11))</formula>
    </cfRule>
  </conditionalFormatting>
  <conditionalFormatting sqref="P10">
    <cfRule type="cellIs" priority="68" dxfId="366" operator="lessThan" stopIfTrue="1">
      <formula>P8-P9-(0.01*(P8-P9))</formula>
    </cfRule>
  </conditionalFormatting>
  <conditionalFormatting sqref="P12">
    <cfRule type="cellIs" priority="69" dxfId="366" operator="lessThan" stopIfTrue="1">
      <formula>P10+P11-(0.01*(P10+P11))</formula>
    </cfRule>
  </conditionalFormatting>
  <conditionalFormatting sqref="R10">
    <cfRule type="cellIs" priority="66" dxfId="366" operator="lessThan" stopIfTrue="1">
      <formula>R8-R9-(0.01*(R8-R9))</formula>
    </cfRule>
  </conditionalFormatting>
  <conditionalFormatting sqref="R12">
    <cfRule type="cellIs" priority="67" dxfId="366" operator="lessThan" stopIfTrue="1">
      <formula>R10+R11-(0.01*(R10+R11))</formula>
    </cfRule>
  </conditionalFormatting>
  <conditionalFormatting sqref="T10">
    <cfRule type="cellIs" priority="64" dxfId="366" operator="lessThan" stopIfTrue="1">
      <formula>T8-T9-(0.01*(T8-T9))</formula>
    </cfRule>
  </conditionalFormatting>
  <conditionalFormatting sqref="T12">
    <cfRule type="cellIs" priority="65" dxfId="366" operator="lessThan" stopIfTrue="1">
      <formula>T10+T11-(0.01*(T10+T11))</formula>
    </cfRule>
  </conditionalFormatting>
  <conditionalFormatting sqref="V10">
    <cfRule type="cellIs" priority="62" dxfId="366" operator="lessThan" stopIfTrue="1">
      <formula>V8-V9-(0.01*(V8-V9))</formula>
    </cfRule>
  </conditionalFormatting>
  <conditionalFormatting sqref="V12">
    <cfRule type="cellIs" priority="63" dxfId="366" operator="lessThan" stopIfTrue="1">
      <formula>V10+V11-(0.01*(V10+V11))</formula>
    </cfRule>
  </conditionalFormatting>
  <conditionalFormatting sqref="X10">
    <cfRule type="cellIs" priority="60" dxfId="366" operator="lessThan" stopIfTrue="1">
      <formula>X8-X9-(0.01*(X8-X9))</formula>
    </cfRule>
  </conditionalFormatting>
  <conditionalFormatting sqref="X12">
    <cfRule type="cellIs" priority="61" dxfId="366" operator="lessThan" stopIfTrue="1">
      <formula>X10+X11-(0.01*(X10+X11))</formula>
    </cfRule>
  </conditionalFormatting>
  <conditionalFormatting sqref="Z10">
    <cfRule type="cellIs" priority="58" dxfId="366" operator="lessThan" stopIfTrue="1">
      <formula>Z8-Z9-(0.01*(Z8-Z9))</formula>
    </cfRule>
  </conditionalFormatting>
  <conditionalFormatting sqref="Z12">
    <cfRule type="cellIs" priority="59" dxfId="366" operator="lessThan" stopIfTrue="1">
      <formula>Z10+Z11-(0.01*(Z10+Z11))</formula>
    </cfRule>
  </conditionalFormatting>
  <conditionalFormatting sqref="AB10">
    <cfRule type="cellIs" priority="56" dxfId="366" operator="lessThan" stopIfTrue="1">
      <formula>AB8-AB9-(0.01*(AB8-AB9))</formula>
    </cfRule>
  </conditionalFormatting>
  <conditionalFormatting sqref="AB12">
    <cfRule type="cellIs" priority="57" dxfId="366" operator="lessThan" stopIfTrue="1">
      <formula>AB10+AB11-(0.01*(AB10+AB11))</formula>
    </cfRule>
  </conditionalFormatting>
  <conditionalFormatting sqref="AD10">
    <cfRule type="cellIs" priority="54" dxfId="366" operator="lessThan" stopIfTrue="1">
      <formula>AD8-AD9-(0.01*(AD8-AD9))</formula>
    </cfRule>
  </conditionalFormatting>
  <conditionalFormatting sqref="AD12">
    <cfRule type="cellIs" priority="55" dxfId="366" operator="lessThan" stopIfTrue="1">
      <formula>AD10+AD11-(0.01*(AD10+AD11))</formula>
    </cfRule>
  </conditionalFormatting>
  <conditionalFormatting sqref="AF10">
    <cfRule type="cellIs" priority="52" dxfId="366" operator="lessThan" stopIfTrue="1">
      <formula>AF8-AF9-(0.01*(AF8-AF9))</formula>
    </cfRule>
  </conditionalFormatting>
  <conditionalFormatting sqref="AF12">
    <cfRule type="cellIs" priority="53" dxfId="366" operator="lessThan" stopIfTrue="1">
      <formula>AF10+AF11-(0.01*(AF10+AF11))</formula>
    </cfRule>
  </conditionalFormatting>
  <conditionalFormatting sqref="AH10">
    <cfRule type="cellIs" priority="50" dxfId="366" operator="lessThan" stopIfTrue="1">
      <formula>AH8-AH9-(0.01*(AH8-AH9))</formula>
    </cfRule>
  </conditionalFormatting>
  <conditionalFormatting sqref="AH12">
    <cfRule type="cellIs" priority="51" dxfId="366" operator="lessThan" stopIfTrue="1">
      <formula>AH10+AH11-(0.01*(AH10+AH11))</formula>
    </cfRule>
  </conditionalFormatting>
  <conditionalFormatting sqref="AJ10">
    <cfRule type="cellIs" priority="48" dxfId="366" operator="lessThan" stopIfTrue="1">
      <formula>AJ8-AJ9-(0.01*(AJ8-AJ9))</formula>
    </cfRule>
  </conditionalFormatting>
  <conditionalFormatting sqref="AJ12">
    <cfRule type="cellIs" priority="49" dxfId="366" operator="lessThan" stopIfTrue="1">
      <formula>AJ10+AJ11-(0.01*(AJ10+AJ11))</formula>
    </cfRule>
  </conditionalFormatting>
  <conditionalFormatting sqref="AN10">
    <cfRule type="cellIs" priority="46" dxfId="366" operator="lessThan" stopIfTrue="1">
      <formula>AN8-AN9-(0.01*(AN8-AN9))</formula>
    </cfRule>
  </conditionalFormatting>
  <conditionalFormatting sqref="AN12">
    <cfRule type="cellIs" priority="47" dxfId="366" operator="lessThan" stopIfTrue="1">
      <formula>AN10+AN11-(0.01*(AN10+AN11))</formula>
    </cfRule>
  </conditionalFormatting>
  <conditionalFormatting sqref="AP10">
    <cfRule type="cellIs" priority="44" dxfId="366" operator="lessThan" stopIfTrue="1">
      <formula>AP8-AP9-(0.01*(AP8-AP9))</formula>
    </cfRule>
  </conditionalFormatting>
  <conditionalFormatting sqref="AP12">
    <cfRule type="cellIs" priority="45" dxfId="366" operator="lessThan" stopIfTrue="1">
      <formula>AP10+AP11-(0.01*(AP10+AP11))</formula>
    </cfRule>
  </conditionalFormatting>
  <conditionalFormatting sqref="AR10">
    <cfRule type="cellIs" priority="42" dxfId="366" operator="lessThan" stopIfTrue="1">
      <formula>AR8-AR9-(0.01*(AR8-AR9))</formula>
    </cfRule>
  </conditionalFormatting>
  <conditionalFormatting sqref="AR12">
    <cfRule type="cellIs" priority="43" dxfId="366" operator="lessThan" stopIfTrue="1">
      <formula>AR10+AR11-(0.01*(AR10+AR11))</formula>
    </cfRule>
  </conditionalFormatting>
  <conditionalFormatting sqref="AT10">
    <cfRule type="cellIs" priority="40" dxfId="366" operator="lessThan" stopIfTrue="1">
      <formula>AT8-AT9-(0.01*(AT8-AT9))</formula>
    </cfRule>
  </conditionalFormatting>
  <conditionalFormatting sqref="AT12">
    <cfRule type="cellIs" priority="41" dxfId="366" operator="lessThan" stopIfTrue="1">
      <formula>AT10+AT11-(0.01*(AT10+AT11))</formula>
    </cfRule>
  </conditionalFormatting>
  <conditionalFormatting sqref="AV10">
    <cfRule type="cellIs" priority="38" dxfId="366" operator="lessThan" stopIfTrue="1">
      <formula>AV8-AV9-(0.01*(AV8-AV9))</formula>
    </cfRule>
  </conditionalFormatting>
  <conditionalFormatting sqref="AV12">
    <cfRule type="cellIs" priority="39" dxfId="366" operator="lessThan" stopIfTrue="1">
      <formula>AV10+AV11-(0.01*(AV10+AV11))</formula>
    </cfRule>
  </conditionalFormatting>
  <conditionalFormatting sqref="BB10">
    <cfRule type="cellIs" priority="36" dxfId="366" operator="lessThan" stopIfTrue="1">
      <formula>BB8-BB9-(0.01*(BB8-BB9))</formula>
    </cfRule>
  </conditionalFormatting>
  <conditionalFormatting sqref="BB12">
    <cfRule type="cellIs" priority="37" dxfId="366" operator="lessThan" stopIfTrue="1">
      <formula>BB10+BB11-(0.01*(BB10+BB11))</formula>
    </cfRule>
  </conditionalFormatting>
  <conditionalFormatting sqref="H13">
    <cfRule type="cellIs" priority="35" dxfId="366" operator="lessThan" stopIfTrue="1">
      <formula>0.99*(H14+H15)</formula>
    </cfRule>
  </conditionalFormatting>
  <conditionalFormatting sqref="J13">
    <cfRule type="cellIs" priority="34" dxfId="366" operator="lessThan" stopIfTrue="1">
      <formula>0.99*(J14+J15)</formula>
    </cfRule>
  </conditionalFormatting>
  <conditionalFormatting sqref="L13">
    <cfRule type="cellIs" priority="33" dxfId="366" operator="lessThan" stopIfTrue="1">
      <formula>0.99*(L14+L15)</formula>
    </cfRule>
  </conditionalFormatting>
  <conditionalFormatting sqref="N13">
    <cfRule type="cellIs" priority="32" dxfId="366" operator="lessThan" stopIfTrue="1">
      <formula>0.99*(N14+N15)</formula>
    </cfRule>
  </conditionalFormatting>
  <conditionalFormatting sqref="P13">
    <cfRule type="cellIs" priority="31" dxfId="366" operator="lessThan" stopIfTrue="1">
      <formula>0.99*(P14+P15)</formula>
    </cfRule>
  </conditionalFormatting>
  <conditionalFormatting sqref="R13">
    <cfRule type="cellIs" priority="30" dxfId="366" operator="lessThan" stopIfTrue="1">
      <formula>0.99*(R14+R15)</formula>
    </cfRule>
  </conditionalFormatting>
  <conditionalFormatting sqref="T13">
    <cfRule type="cellIs" priority="29" dxfId="366" operator="lessThan" stopIfTrue="1">
      <formula>0.99*(T14+T15)</formula>
    </cfRule>
  </conditionalFormatting>
  <conditionalFormatting sqref="V13">
    <cfRule type="cellIs" priority="28" dxfId="366" operator="lessThan" stopIfTrue="1">
      <formula>0.99*(V14+V15)</formula>
    </cfRule>
  </conditionalFormatting>
  <conditionalFormatting sqref="X13">
    <cfRule type="cellIs" priority="27" dxfId="366" operator="lessThan" stopIfTrue="1">
      <formula>0.99*(X14+X15)</formula>
    </cfRule>
  </conditionalFormatting>
  <conditionalFormatting sqref="Z13">
    <cfRule type="cellIs" priority="26" dxfId="366" operator="lessThan" stopIfTrue="1">
      <formula>0.99*(Z14+Z15)</formula>
    </cfRule>
  </conditionalFormatting>
  <conditionalFormatting sqref="AB13">
    <cfRule type="cellIs" priority="25" dxfId="366" operator="lessThan" stopIfTrue="1">
      <formula>0.99*(AB14+AB15)</formula>
    </cfRule>
  </conditionalFormatting>
  <conditionalFormatting sqref="AD13">
    <cfRule type="cellIs" priority="24" dxfId="366" operator="lessThan" stopIfTrue="1">
      <formula>0.99*(AD14+AD15)</formula>
    </cfRule>
  </conditionalFormatting>
  <conditionalFormatting sqref="AF13">
    <cfRule type="cellIs" priority="23" dxfId="366" operator="lessThan" stopIfTrue="1">
      <formula>0.99*(AF14+AF15)</formula>
    </cfRule>
  </conditionalFormatting>
  <conditionalFormatting sqref="AH13">
    <cfRule type="cellIs" priority="22" dxfId="366" operator="lessThan" stopIfTrue="1">
      <formula>0.99*(AH14+AH15)</formula>
    </cfRule>
  </conditionalFormatting>
  <conditionalFormatting sqref="AJ13">
    <cfRule type="cellIs" priority="21" dxfId="366" operator="lessThan" stopIfTrue="1">
      <formula>0.99*(AJ14+AJ15)</formula>
    </cfRule>
  </conditionalFormatting>
  <conditionalFormatting sqref="AR13">
    <cfRule type="cellIs" priority="18" dxfId="366" operator="lessThan" stopIfTrue="1">
      <formula>0.99*(AR14+AR15)</formula>
    </cfRule>
  </conditionalFormatting>
  <conditionalFormatting sqref="AN13">
    <cfRule type="cellIs" priority="20" dxfId="366" operator="lessThan" stopIfTrue="1">
      <formula>0.99*(AN14+AN15)</formula>
    </cfRule>
  </conditionalFormatting>
  <conditionalFormatting sqref="AP13">
    <cfRule type="cellIs" priority="19" dxfId="366" operator="lessThan" stopIfTrue="1">
      <formula>0.99*(AP14+AP15)</formula>
    </cfRule>
  </conditionalFormatting>
  <conditionalFormatting sqref="AT13">
    <cfRule type="cellIs" priority="17" dxfId="366" operator="lessThan" stopIfTrue="1">
      <formula>0.99*(AT14+AT15)</formula>
    </cfRule>
  </conditionalFormatting>
  <conditionalFormatting sqref="AV13">
    <cfRule type="cellIs" priority="16" dxfId="366" operator="lessThan" stopIfTrue="1">
      <formula>0.99*(AV14+AV15)</formula>
    </cfRule>
  </conditionalFormatting>
  <conditionalFormatting sqref="BB13">
    <cfRule type="cellIs" priority="15" dxfId="366" operator="lessThan" stopIfTrue="1">
      <formula>0.99*(BB14+BB15)</formula>
    </cfRule>
  </conditionalFormatting>
  <conditionalFormatting sqref="AL10">
    <cfRule type="cellIs" priority="13" dxfId="366" operator="lessThan" stopIfTrue="1">
      <formula>AL8-AL9-(0.01*(AL8-AL9))</formula>
    </cfRule>
  </conditionalFormatting>
  <conditionalFormatting sqref="AL12">
    <cfRule type="cellIs" priority="14" dxfId="366" operator="lessThan" stopIfTrue="1">
      <formula>AL10+AL11-(0.01*(AL10+AL11))</formula>
    </cfRule>
  </conditionalFormatting>
  <conditionalFormatting sqref="AL13">
    <cfRule type="cellIs" priority="12" dxfId="366" operator="lessThan" stopIfTrue="1">
      <formula>0.99*(AL14+AL15)</formula>
    </cfRule>
  </conditionalFormatting>
  <conditionalFormatting sqref="BI32 BI35 BI38 BI29">
    <cfRule type="cellIs" priority="9" dxfId="366"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366"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366" operator="equal" stopIfTrue="1">
      <formula>"&gt; 25%"</formula>
    </cfRule>
  </conditionalFormatting>
  <conditionalFormatting sqref="AX10">
    <cfRule type="cellIs" priority="7" dxfId="366" operator="lessThan" stopIfTrue="1">
      <formula>AX8-AX9-(0.01*(AX8-AX9))</formula>
    </cfRule>
  </conditionalFormatting>
  <conditionalFormatting sqref="AX12">
    <cfRule type="cellIs" priority="8" dxfId="366" operator="lessThan" stopIfTrue="1">
      <formula>AX10+AX11-(0.01*(AX10+AX11))</formula>
    </cfRule>
  </conditionalFormatting>
  <conditionalFormatting sqref="AZ10">
    <cfRule type="cellIs" priority="5" dxfId="366" operator="lessThan" stopIfTrue="1">
      <formula>AZ8-AZ9-(0.01*(AZ8-AZ9))</formula>
    </cfRule>
  </conditionalFormatting>
  <conditionalFormatting sqref="AZ12">
    <cfRule type="cellIs" priority="6" dxfId="366" operator="lessThan" stopIfTrue="1">
      <formula>AZ10+AZ11-(0.01*(AZ10+AZ11))</formula>
    </cfRule>
  </conditionalFormatting>
  <conditionalFormatting sqref="AX13">
    <cfRule type="cellIs" priority="4" dxfId="366" operator="lessThan" stopIfTrue="1">
      <formula>0.99*(AX14+AX15)</formula>
    </cfRule>
  </conditionalFormatting>
  <conditionalFormatting sqref="AZ13">
    <cfRule type="cellIs" priority="3" dxfId="366" operator="lessThan" stopIfTrue="1">
      <formula>0.99*(AZ14+AZ15)</formula>
    </cfRule>
  </conditionalFormatting>
  <conditionalFormatting sqref="CY26 DA23 DA26 CY23">
    <cfRule type="cellIs" priority="2" dxfId="366" operator="equal" stopIfTrue="1">
      <formula>"&lt;&gt;"</formula>
    </cfRule>
  </conditionalFormatting>
  <conditionalFormatting sqref="CY8:CY16 DA8:DA16">
    <cfRule type="cellIs" priority="1" dxfId="366" operator="equal" stopIfTrue="1">
      <formula>"&gt; 25%"</formula>
    </cfRule>
  </conditionalFormatting>
  <printOptions horizontalCentered="1"/>
  <pageMargins left="0.56" right="0.4" top="0.65" bottom="0.984251969" header="0.43" footer="0.5"/>
  <pageSetup fitToHeight="0" fitToWidth="1" horizontalDpi="600" verticalDpi="600" orientation="landscape" paperSize="9" scale="55" r:id="rId4"/>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P90"/>
  <sheetViews>
    <sheetView showGridLines="0" zoomScale="85" zoomScaleNormal="85" zoomScaleSheetLayoutView="25" workbookViewId="0" topLeftCell="C1">
      <selection activeCell="F8" sqref="F8"/>
    </sheetView>
  </sheetViews>
  <sheetFormatPr defaultColWidth="12" defaultRowHeight="12.75"/>
  <cols>
    <col min="1" max="1" width="2.33203125" style="209" hidden="1" customWidth="1"/>
    <col min="2" max="2" width="6" style="180" hidden="1" customWidth="1"/>
    <col min="3" max="3" width="7.33203125" style="215" customWidth="1"/>
    <col min="4" max="4" width="47.5" style="215" customWidth="1"/>
    <col min="5" max="5" width="9.5" style="215" customWidth="1"/>
    <col min="6" max="6" width="6.16015625" style="215" customWidth="1"/>
    <col min="7" max="7" width="1.83203125" style="279" customWidth="1"/>
    <col min="8" max="8" width="6.16015625" style="280" customWidth="1"/>
    <col min="9" max="9" width="1.83203125" style="281" customWidth="1"/>
    <col min="10" max="10" width="6.16015625" style="281" customWidth="1"/>
    <col min="11" max="11" width="1.83203125" style="281" customWidth="1"/>
    <col min="12" max="12" width="6.16015625" style="281" customWidth="1"/>
    <col min="13" max="13" width="1.83203125" style="281" customWidth="1"/>
    <col min="14" max="14" width="6.16015625" style="281" customWidth="1"/>
    <col min="15" max="15" width="1.83203125" style="281" customWidth="1"/>
    <col min="16" max="16" width="6.16015625" style="280" customWidth="1"/>
    <col min="17" max="17" width="1.83203125" style="281" customWidth="1"/>
    <col min="18" max="18" width="6.16015625" style="280" customWidth="1"/>
    <col min="19" max="19" width="1.83203125" style="281" customWidth="1"/>
    <col min="20" max="20" width="6.16015625" style="280" customWidth="1"/>
    <col min="21" max="21" width="1.83203125" style="281" customWidth="1"/>
    <col min="22" max="22" width="6.16015625" style="280" customWidth="1"/>
    <col min="23" max="23" width="1.83203125" style="279" customWidth="1"/>
    <col min="24" max="24" width="6.16015625" style="280" customWidth="1"/>
    <col min="25" max="25" width="1.83203125" style="279" customWidth="1"/>
    <col min="26" max="26" width="6.16015625" style="280" customWidth="1"/>
    <col min="27" max="27" width="1.83203125" style="279" customWidth="1"/>
    <col min="28" max="28" width="6.16015625" style="280" customWidth="1"/>
    <col min="29" max="29" width="1.83203125" style="279" customWidth="1"/>
    <col min="30" max="30" width="6.16015625" style="280" customWidth="1"/>
    <col min="31" max="31" width="1.83203125" style="279" customWidth="1"/>
    <col min="32" max="32" width="6.16015625" style="280" customWidth="1"/>
    <col min="33" max="33" width="1.83203125" style="279" customWidth="1"/>
    <col min="34" max="34" width="6.16015625" style="280" customWidth="1"/>
    <col min="35" max="35" width="1.83203125" style="281" customWidth="1"/>
    <col min="36" max="36" width="6.16015625" style="280" customWidth="1"/>
    <col min="37" max="37" width="1.83203125" style="279" customWidth="1"/>
    <col min="38" max="38" width="6.16015625" style="280" customWidth="1"/>
    <col min="39" max="39" width="1.83203125" style="279" customWidth="1"/>
    <col min="40" max="40" width="6.16015625" style="280" customWidth="1"/>
    <col min="41" max="41" width="1.83203125" style="279" customWidth="1"/>
    <col min="42" max="42" width="6.16015625" style="279" customWidth="1"/>
    <col min="43" max="43" width="2" style="279" customWidth="1"/>
    <col min="44" max="44" width="6.16015625" style="279" customWidth="1"/>
    <col min="45" max="45" width="1.83203125" style="279" customWidth="1"/>
    <col min="46" max="46" width="6.16015625" style="280" customWidth="1"/>
    <col min="47" max="47" width="1.83203125" style="215" customWidth="1"/>
    <col min="48" max="48" width="6.16015625" style="279" customWidth="1"/>
    <col min="49" max="49" width="1.83203125" style="279" customWidth="1"/>
    <col min="50" max="50" width="6.16015625" style="280" customWidth="1"/>
    <col min="51" max="51" width="1.83203125" style="215" customWidth="1"/>
    <col min="52" max="52" width="6.16015625" style="280" customWidth="1"/>
    <col min="53" max="53" width="1.83203125" style="215" customWidth="1"/>
    <col min="54" max="54" width="1.171875" style="215" customWidth="1"/>
    <col min="55" max="55" width="2" style="213" customWidth="1"/>
    <col min="56" max="56" width="3.5" style="687" customWidth="1"/>
    <col min="57" max="57" width="30.16015625" style="687" customWidth="1"/>
    <col min="58" max="58" width="7.5" style="687" customWidth="1"/>
    <col min="59" max="59" width="4.5" style="687" customWidth="1"/>
    <col min="60" max="60" width="1.5" style="687" customWidth="1"/>
    <col min="61" max="61" width="5.33203125" style="687" customWidth="1"/>
    <col min="62" max="62" width="1.171875" style="687" customWidth="1"/>
    <col min="63" max="63" width="5.33203125" style="687" customWidth="1"/>
    <col min="64" max="64" width="0.82421875" style="687" customWidth="1"/>
    <col min="65" max="65" width="5.33203125" style="687" customWidth="1"/>
    <col min="66" max="66" width="0.82421875" style="687" customWidth="1"/>
    <col min="67" max="67" width="5.33203125" style="687" customWidth="1"/>
    <col min="68" max="68" width="0.82421875" style="687" customWidth="1"/>
    <col min="69" max="69" width="5.33203125" style="687" customWidth="1"/>
    <col min="70" max="70" width="0.82421875" style="687" customWidth="1"/>
    <col min="71" max="71" width="5.33203125" style="687" customWidth="1"/>
    <col min="72" max="72" width="0.82421875" style="687" customWidth="1"/>
    <col min="73" max="73" width="5.33203125" style="687" customWidth="1"/>
    <col min="74" max="74" width="0.82421875" style="687" customWidth="1"/>
    <col min="75" max="75" width="5.33203125" style="687" customWidth="1"/>
    <col min="76" max="76" width="0.82421875" style="687" customWidth="1"/>
    <col min="77" max="77" width="5.33203125" style="687" customWidth="1"/>
    <col min="78" max="78" width="0.82421875" style="687" customWidth="1"/>
    <col min="79" max="79" width="5.33203125" style="687" customWidth="1"/>
    <col min="80" max="80" width="0.82421875" style="687" customWidth="1"/>
    <col min="81" max="81" width="5.33203125" style="687" customWidth="1"/>
    <col min="82" max="82" width="0.82421875" style="687" customWidth="1"/>
    <col min="83" max="83" width="5.33203125" style="687" customWidth="1"/>
    <col min="84" max="84" width="0.82421875" style="687" customWidth="1"/>
    <col min="85" max="85" width="5.33203125" style="687" customWidth="1"/>
    <col min="86" max="86" width="0.82421875" style="687" customWidth="1"/>
    <col min="87" max="87" width="5.33203125" style="687" customWidth="1"/>
    <col min="88" max="88" width="0.82421875" style="687" customWidth="1"/>
    <col min="89" max="89" width="5.33203125" style="687" customWidth="1"/>
    <col min="90" max="90" width="0.82421875" style="687" customWidth="1"/>
    <col min="91" max="91" width="5.33203125" style="687" customWidth="1"/>
    <col min="92" max="92" width="0.82421875" style="687" customWidth="1"/>
    <col min="93" max="93" width="5.33203125" style="687" customWidth="1"/>
    <col min="94" max="94" width="0.82421875" style="687" customWidth="1"/>
    <col min="95" max="95" width="5.33203125" style="687" customWidth="1"/>
    <col min="96" max="96" width="0.82421875" style="687" customWidth="1"/>
    <col min="97" max="97" width="5.33203125" style="687" customWidth="1"/>
    <col min="98" max="98" width="0.82421875" style="687" customWidth="1"/>
    <col min="99" max="99" width="5.33203125" style="687" customWidth="1"/>
    <col min="100" max="100" width="0.82421875" style="687" customWidth="1"/>
    <col min="101" max="101" width="5.33203125" style="687" customWidth="1"/>
    <col min="102" max="102" width="0.82421875" style="687" customWidth="1"/>
    <col min="103" max="103" width="5.33203125" style="687" customWidth="1"/>
    <col min="104" max="104" width="0.82421875" style="687" customWidth="1"/>
    <col min="105" max="105" width="5.16015625" style="687" customWidth="1"/>
    <col min="106" max="106" width="0.328125" style="213" customWidth="1"/>
    <col min="107" max="16384" width="12" style="215" customWidth="1"/>
  </cols>
  <sheetData>
    <row r="1" spans="2:105" ht="16.5" customHeight="1">
      <c r="B1" s="180">
        <v>0</v>
      </c>
      <c r="C1" s="181" t="s">
        <v>555</v>
      </c>
      <c r="D1" s="181"/>
      <c r="E1" s="338"/>
      <c r="F1" s="338"/>
      <c r="G1" s="339"/>
      <c r="H1" s="340"/>
      <c r="I1" s="341"/>
      <c r="J1" s="341"/>
      <c r="K1" s="341"/>
      <c r="L1" s="341"/>
      <c r="M1" s="341"/>
      <c r="N1" s="341"/>
      <c r="O1" s="341"/>
      <c r="P1" s="340"/>
      <c r="Q1" s="341"/>
      <c r="R1" s="340"/>
      <c r="S1" s="341"/>
      <c r="T1" s="340"/>
      <c r="U1" s="341"/>
      <c r="V1" s="340"/>
      <c r="W1" s="339"/>
      <c r="X1" s="340"/>
      <c r="Y1" s="339"/>
      <c r="Z1" s="340"/>
      <c r="AA1" s="339"/>
      <c r="AB1" s="340"/>
      <c r="AC1" s="339"/>
      <c r="AD1" s="340"/>
      <c r="AE1" s="339"/>
      <c r="AF1" s="340"/>
      <c r="AG1" s="339"/>
      <c r="AH1" s="340"/>
      <c r="AI1" s="341"/>
      <c r="AJ1" s="340"/>
      <c r="AK1" s="339"/>
      <c r="AL1" s="340"/>
      <c r="AM1" s="339"/>
      <c r="AN1" s="340"/>
      <c r="AO1" s="339"/>
      <c r="AP1" s="339"/>
      <c r="AQ1" s="339"/>
      <c r="AR1" s="339"/>
      <c r="AS1" s="339"/>
      <c r="AT1" s="340"/>
      <c r="AU1" s="342"/>
      <c r="AV1" s="339"/>
      <c r="AW1" s="339"/>
      <c r="AX1" s="340"/>
      <c r="AY1" s="342"/>
      <c r="AZ1" s="340"/>
      <c r="BA1" s="342"/>
      <c r="BB1" s="342"/>
      <c r="BD1" s="192" t="s">
        <v>447</v>
      </c>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row>
    <row r="2" spans="5:105" ht="1.5" customHeight="1">
      <c r="E2" s="343"/>
      <c r="F2" s="343"/>
      <c r="G2" s="344"/>
      <c r="H2" s="345"/>
      <c r="I2" s="346"/>
      <c r="J2" s="346"/>
      <c r="K2" s="346"/>
      <c r="L2" s="346"/>
      <c r="M2" s="346"/>
      <c r="N2" s="346"/>
      <c r="O2" s="346"/>
      <c r="P2" s="345"/>
      <c r="Q2" s="346"/>
      <c r="R2" s="345"/>
      <c r="S2" s="346"/>
      <c r="T2" s="345"/>
      <c r="U2" s="346"/>
      <c r="V2" s="345"/>
      <c r="W2" s="347"/>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2"/>
      <c r="CE2" s="612"/>
      <c r="CF2" s="612"/>
      <c r="CG2" s="612"/>
      <c r="CH2" s="612"/>
      <c r="CI2" s="612"/>
      <c r="CJ2" s="612"/>
      <c r="CK2" s="612"/>
      <c r="CL2" s="612"/>
      <c r="CM2" s="612"/>
      <c r="CN2" s="612"/>
      <c r="CO2" s="612"/>
      <c r="CP2" s="612"/>
      <c r="CQ2" s="612"/>
      <c r="CR2" s="612"/>
      <c r="CS2" s="612"/>
      <c r="CT2" s="612"/>
      <c r="CU2" s="612"/>
      <c r="CV2" s="612"/>
      <c r="CW2" s="612"/>
      <c r="CX2" s="612"/>
      <c r="CY2" s="612"/>
      <c r="CZ2" s="612"/>
      <c r="DA2" s="612"/>
    </row>
    <row r="3" spans="1:108" s="364" customFormat="1" ht="17.25" customHeight="1">
      <c r="A3" s="291"/>
      <c r="B3" s="291">
        <v>180</v>
      </c>
      <c r="C3" s="348" t="s">
        <v>324</v>
      </c>
      <c r="D3" s="705" t="s">
        <v>144</v>
      </c>
      <c r="E3" s="433"/>
      <c r="F3" s="434"/>
      <c r="G3" s="435"/>
      <c r="H3" s="436"/>
      <c r="I3" s="437"/>
      <c r="J3" s="437"/>
      <c r="K3" s="437"/>
      <c r="L3" s="437"/>
      <c r="M3" s="437"/>
      <c r="N3" s="437"/>
      <c r="O3" s="437"/>
      <c r="P3" s="436"/>
      <c r="Q3" s="437"/>
      <c r="R3" s="436"/>
      <c r="S3" s="437"/>
      <c r="T3" s="436"/>
      <c r="U3" s="437"/>
      <c r="V3" s="436"/>
      <c r="W3" s="435"/>
      <c r="X3" s="436"/>
      <c r="Y3" s="438"/>
      <c r="Z3" s="111"/>
      <c r="AA3" s="438"/>
      <c r="AB3" s="57"/>
      <c r="AC3" s="348" t="s">
        <v>300</v>
      </c>
      <c r="AD3" s="350"/>
      <c r="AE3" s="349"/>
      <c r="AF3" s="350"/>
      <c r="AG3" s="351"/>
      <c r="AH3" s="350"/>
      <c r="AI3" s="349"/>
      <c r="AJ3" s="436"/>
      <c r="AK3" s="435"/>
      <c r="AL3" s="436"/>
      <c r="AM3" s="435"/>
      <c r="AN3" s="436"/>
      <c r="AO3" s="439"/>
      <c r="AP3" s="439"/>
      <c r="AQ3" s="439"/>
      <c r="AR3" s="439"/>
      <c r="AS3" s="439"/>
      <c r="AT3" s="440"/>
      <c r="AU3" s="440"/>
      <c r="AV3" s="439"/>
      <c r="AW3" s="439"/>
      <c r="AX3" s="440"/>
      <c r="AY3" s="440"/>
      <c r="AZ3" s="440"/>
      <c r="BA3" s="440"/>
      <c r="BB3" s="440"/>
      <c r="BC3" s="354"/>
      <c r="BD3" s="355" t="s">
        <v>423</v>
      </c>
      <c r="BE3" s="356"/>
      <c r="BF3" s="357"/>
      <c r="BG3" s="358"/>
      <c r="BH3" s="358"/>
      <c r="BI3" s="359"/>
      <c r="BJ3" s="359"/>
      <c r="BK3" s="359"/>
      <c r="BL3" s="359"/>
      <c r="BM3" s="359"/>
      <c r="BN3" s="359"/>
      <c r="BO3" s="359"/>
      <c r="BP3" s="359"/>
      <c r="BQ3" s="359"/>
      <c r="BR3" s="359"/>
      <c r="BS3" s="360"/>
      <c r="BT3" s="360"/>
      <c r="BU3" s="360"/>
      <c r="BV3" s="360"/>
      <c r="BW3" s="360"/>
      <c r="BX3" s="360"/>
      <c r="BY3" s="361"/>
      <c r="BZ3" s="361"/>
      <c r="CA3" s="357"/>
      <c r="CB3" s="357"/>
      <c r="CC3" s="357"/>
      <c r="CD3" s="357"/>
      <c r="CE3" s="357"/>
      <c r="CF3" s="357"/>
      <c r="CG3" s="361"/>
      <c r="CH3" s="361"/>
      <c r="CI3" s="357"/>
      <c r="CJ3" s="357"/>
      <c r="CK3" s="357"/>
      <c r="CL3" s="357"/>
      <c r="CM3" s="357"/>
      <c r="CN3" s="357"/>
      <c r="CO3" s="357"/>
      <c r="CP3" s="357"/>
      <c r="CQ3" s="357"/>
      <c r="CR3" s="357"/>
      <c r="CS3" s="357"/>
      <c r="CT3" s="357"/>
      <c r="CU3" s="357"/>
      <c r="CV3" s="357"/>
      <c r="CW3" s="357"/>
      <c r="CX3" s="357"/>
      <c r="CY3" s="357"/>
      <c r="CZ3" s="357"/>
      <c r="DA3" s="357"/>
      <c r="DB3" s="362"/>
      <c r="DC3" s="363"/>
      <c r="DD3" s="363"/>
    </row>
    <row r="4" spans="5:105" ht="1.5" customHeight="1">
      <c r="E4" s="365"/>
      <c r="F4" s="365"/>
      <c r="Z4" s="352"/>
      <c r="AA4" s="347"/>
      <c r="AB4" s="352"/>
      <c r="AJ4" s="441"/>
      <c r="AK4" s="442"/>
      <c r="AL4" s="443"/>
      <c r="AM4" s="39"/>
      <c r="AN4" s="441"/>
      <c r="AO4" s="39"/>
      <c r="AP4" s="39"/>
      <c r="AQ4" s="39"/>
      <c r="AR4" s="39"/>
      <c r="AS4" s="39"/>
      <c r="AT4" s="441"/>
      <c r="AU4" s="444"/>
      <c r="AV4" s="39"/>
      <c r="AW4" s="39"/>
      <c r="AX4" s="441"/>
      <c r="AY4" s="444"/>
      <c r="AZ4" s="441"/>
      <c r="BA4" s="444"/>
      <c r="BB4" s="445"/>
      <c r="BD4" s="330"/>
      <c r="BE4" s="330"/>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row>
    <row r="5" spans="2:105" ht="17.25" customHeight="1">
      <c r="B5" s="224">
        <v>23</v>
      </c>
      <c r="C5" s="830" t="s">
        <v>499</v>
      </c>
      <c r="D5" s="830"/>
      <c r="E5" s="831"/>
      <c r="F5" s="831"/>
      <c r="G5" s="831"/>
      <c r="H5" s="832"/>
      <c r="I5" s="832"/>
      <c r="J5" s="832"/>
      <c r="K5" s="832"/>
      <c r="L5" s="832"/>
      <c r="M5" s="832"/>
      <c r="N5" s="832"/>
      <c r="O5" s="832"/>
      <c r="P5" s="832"/>
      <c r="Q5" s="832"/>
      <c r="R5" s="832"/>
      <c r="S5" s="832"/>
      <c r="T5" s="832"/>
      <c r="U5" s="832"/>
      <c r="V5" s="832"/>
      <c r="W5" s="831"/>
      <c r="X5" s="832"/>
      <c r="Y5" s="831"/>
      <c r="Z5" s="832"/>
      <c r="AA5" s="831"/>
      <c r="AB5" s="832"/>
      <c r="AC5" s="831"/>
      <c r="AD5" s="832"/>
      <c r="AE5" s="831"/>
      <c r="AF5" s="832"/>
      <c r="AG5" s="831"/>
      <c r="AH5" s="832"/>
      <c r="AI5" s="832"/>
      <c r="AJ5" s="832"/>
      <c r="AK5" s="831"/>
      <c r="AL5" s="832"/>
      <c r="AM5" s="831"/>
      <c r="AN5" s="366"/>
      <c r="AO5" s="367"/>
      <c r="AP5" s="367"/>
      <c r="AQ5" s="367"/>
      <c r="AR5" s="367"/>
      <c r="AS5" s="367"/>
      <c r="AT5" s="366"/>
      <c r="AU5" s="368"/>
      <c r="AV5" s="367"/>
      <c r="AW5" s="367"/>
      <c r="AX5" s="366"/>
      <c r="AY5" s="368"/>
      <c r="AZ5" s="366"/>
      <c r="BA5" s="368"/>
      <c r="BB5" s="368"/>
      <c r="BD5" s="369" t="s">
        <v>424</v>
      </c>
      <c r="BE5" s="330"/>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612"/>
      <c r="CY5" s="612"/>
      <c r="CZ5" s="612"/>
      <c r="DA5" s="612"/>
    </row>
    <row r="6" spans="3:105" ht="14.25" customHeight="1">
      <c r="C6" s="669"/>
      <c r="D6" s="669"/>
      <c r="E6" s="669"/>
      <c r="F6" s="676" t="s">
        <v>489</v>
      </c>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370"/>
      <c r="AH6" s="371"/>
      <c r="AJ6" s="371"/>
      <c r="AK6" s="372"/>
      <c r="AL6" s="371"/>
      <c r="AN6" s="371"/>
      <c r="AO6" s="373"/>
      <c r="AP6" s="373"/>
      <c r="AQ6" s="373"/>
      <c r="AR6" s="373"/>
      <c r="AS6" s="373"/>
      <c r="AT6" s="218"/>
      <c r="AV6" s="373"/>
      <c r="AW6" s="373"/>
      <c r="AX6" s="218"/>
      <c r="AY6" s="374"/>
      <c r="AZ6" s="218"/>
      <c r="BA6" s="375"/>
      <c r="BB6" s="218"/>
      <c r="BD6" s="376" t="s">
        <v>567</v>
      </c>
      <c r="BE6" s="330"/>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612"/>
      <c r="CY6" s="612"/>
      <c r="CZ6" s="612"/>
      <c r="DA6" s="612"/>
    </row>
    <row r="7" spans="1:106" s="233" customFormat="1" ht="14.25" customHeight="1">
      <c r="A7" s="223"/>
      <c r="B7" s="224">
        <v>2</v>
      </c>
      <c r="C7" s="226" t="s">
        <v>301</v>
      </c>
      <c r="D7" s="226" t="s">
        <v>302</v>
      </c>
      <c r="E7" s="226" t="s">
        <v>303</v>
      </c>
      <c r="F7" s="225">
        <v>1990</v>
      </c>
      <c r="G7" s="227"/>
      <c r="H7" s="226">
        <v>1995</v>
      </c>
      <c r="I7" s="227"/>
      <c r="J7" s="226">
        <v>1996</v>
      </c>
      <c r="K7" s="227"/>
      <c r="L7" s="226">
        <v>1997</v>
      </c>
      <c r="M7" s="227"/>
      <c r="N7" s="226">
        <v>1998</v>
      </c>
      <c r="O7" s="227"/>
      <c r="P7" s="226">
        <v>1999</v>
      </c>
      <c r="Q7" s="227"/>
      <c r="R7" s="226">
        <v>2000</v>
      </c>
      <c r="S7" s="227"/>
      <c r="T7" s="226">
        <v>2001</v>
      </c>
      <c r="U7" s="227"/>
      <c r="V7" s="226">
        <v>2002</v>
      </c>
      <c r="W7" s="227"/>
      <c r="X7" s="226">
        <v>2003</v>
      </c>
      <c r="Y7" s="227"/>
      <c r="Z7" s="226">
        <v>2004</v>
      </c>
      <c r="AA7" s="227"/>
      <c r="AB7" s="226">
        <v>2005</v>
      </c>
      <c r="AC7" s="227"/>
      <c r="AD7" s="226">
        <v>2006</v>
      </c>
      <c r="AE7" s="227"/>
      <c r="AF7" s="226">
        <v>2007</v>
      </c>
      <c r="AG7" s="227"/>
      <c r="AH7" s="226">
        <v>2008</v>
      </c>
      <c r="AI7" s="227"/>
      <c r="AJ7" s="226">
        <v>2009</v>
      </c>
      <c r="AK7" s="226"/>
      <c r="AL7" s="226">
        <v>2010</v>
      </c>
      <c r="AM7" s="226"/>
      <c r="AN7" s="226">
        <v>2011</v>
      </c>
      <c r="AO7" s="227"/>
      <c r="AP7" s="226">
        <v>2012</v>
      </c>
      <c r="AQ7" s="226"/>
      <c r="AR7" s="226">
        <v>2013</v>
      </c>
      <c r="AS7" s="226"/>
      <c r="AT7" s="226">
        <v>2014</v>
      </c>
      <c r="AU7" s="227"/>
      <c r="AV7" s="226">
        <v>2015</v>
      </c>
      <c r="AW7" s="226"/>
      <c r="AX7" s="226">
        <v>2016</v>
      </c>
      <c r="AY7" s="227"/>
      <c r="AZ7" s="226">
        <v>2017</v>
      </c>
      <c r="BA7" s="227"/>
      <c r="BC7" s="229"/>
      <c r="BD7" s="226" t="s">
        <v>545</v>
      </c>
      <c r="BE7" s="226" t="s">
        <v>546</v>
      </c>
      <c r="BF7" s="226" t="s">
        <v>548</v>
      </c>
      <c r="BG7" s="225">
        <v>1990</v>
      </c>
      <c r="BH7" s="225"/>
      <c r="BI7" s="226">
        <v>1995</v>
      </c>
      <c r="BJ7" s="226"/>
      <c r="BK7" s="226">
        <v>1996</v>
      </c>
      <c r="BL7" s="226"/>
      <c r="BM7" s="226">
        <v>1997</v>
      </c>
      <c r="BN7" s="226"/>
      <c r="BO7" s="226">
        <v>1998</v>
      </c>
      <c r="BP7" s="226"/>
      <c r="BQ7" s="226">
        <v>1999</v>
      </c>
      <c r="BR7" s="226"/>
      <c r="BS7" s="226">
        <v>2000</v>
      </c>
      <c r="BT7" s="226"/>
      <c r="BU7" s="226">
        <v>2001</v>
      </c>
      <c r="BV7" s="226"/>
      <c r="BW7" s="226">
        <v>2002</v>
      </c>
      <c r="BX7" s="226"/>
      <c r="BY7" s="226">
        <v>2003</v>
      </c>
      <c r="BZ7" s="226"/>
      <c r="CA7" s="226">
        <v>2004</v>
      </c>
      <c r="CB7" s="226"/>
      <c r="CC7" s="226">
        <v>2005</v>
      </c>
      <c r="CD7" s="226"/>
      <c r="CE7" s="226">
        <v>2006</v>
      </c>
      <c r="CF7" s="226"/>
      <c r="CG7" s="226">
        <v>2007</v>
      </c>
      <c r="CH7" s="226"/>
      <c r="CI7" s="226">
        <v>2008</v>
      </c>
      <c r="CJ7" s="226"/>
      <c r="CK7" s="226">
        <v>2009</v>
      </c>
      <c r="CL7" s="226"/>
      <c r="CM7" s="226">
        <v>2010</v>
      </c>
      <c r="CN7" s="226"/>
      <c r="CO7" s="226">
        <v>2011</v>
      </c>
      <c r="CP7" s="226"/>
      <c r="CQ7" s="226">
        <v>2012</v>
      </c>
      <c r="CR7" s="226"/>
      <c r="CS7" s="226">
        <v>2013</v>
      </c>
      <c r="CT7" s="226"/>
      <c r="CU7" s="226">
        <v>2014</v>
      </c>
      <c r="CV7" s="226"/>
      <c r="CW7" s="226">
        <v>2015</v>
      </c>
      <c r="CX7" s="226"/>
      <c r="CY7" s="226">
        <v>2016</v>
      </c>
      <c r="CZ7" s="226"/>
      <c r="DA7" s="226">
        <v>2017</v>
      </c>
      <c r="DB7" s="227"/>
    </row>
    <row r="8" spans="1:106" s="228" customFormat="1" ht="14.25" customHeight="1">
      <c r="A8" s="223"/>
      <c r="B8" s="377">
        <v>24</v>
      </c>
      <c r="C8" s="238">
        <v>1</v>
      </c>
      <c r="D8" s="378" t="s">
        <v>241</v>
      </c>
      <c r="E8" s="260" t="s">
        <v>304</v>
      </c>
      <c r="F8" s="582"/>
      <c r="G8" s="596"/>
      <c r="H8" s="582"/>
      <c r="I8" s="596"/>
      <c r="J8" s="582"/>
      <c r="K8" s="596"/>
      <c r="L8" s="582"/>
      <c r="M8" s="596"/>
      <c r="N8" s="582"/>
      <c r="O8" s="596"/>
      <c r="P8" s="582"/>
      <c r="Q8" s="596"/>
      <c r="R8" s="582"/>
      <c r="S8" s="596"/>
      <c r="T8" s="582"/>
      <c r="U8" s="596"/>
      <c r="V8" s="582"/>
      <c r="W8" s="596"/>
      <c r="X8" s="582"/>
      <c r="Y8" s="596"/>
      <c r="Z8" s="582"/>
      <c r="AA8" s="596"/>
      <c r="AB8" s="582"/>
      <c r="AC8" s="596"/>
      <c r="AD8" s="582"/>
      <c r="AE8" s="596"/>
      <c r="AF8" s="582"/>
      <c r="AG8" s="596"/>
      <c r="AH8" s="582"/>
      <c r="AI8" s="596"/>
      <c r="AJ8" s="582"/>
      <c r="AK8" s="596"/>
      <c r="AL8" s="582"/>
      <c r="AM8" s="596"/>
      <c r="AN8" s="582"/>
      <c r="AO8" s="596"/>
      <c r="AP8" s="582"/>
      <c r="AQ8" s="596"/>
      <c r="AR8" s="582"/>
      <c r="AS8" s="596"/>
      <c r="AT8" s="582"/>
      <c r="AU8" s="596"/>
      <c r="AV8" s="582"/>
      <c r="AW8" s="596"/>
      <c r="AX8" s="582"/>
      <c r="AY8" s="596"/>
      <c r="AZ8" s="582"/>
      <c r="BA8" s="596"/>
      <c r="BC8" s="379"/>
      <c r="BD8" s="681">
        <v>1</v>
      </c>
      <c r="BE8" s="306" t="s">
        <v>457</v>
      </c>
      <c r="BF8" s="100" t="s">
        <v>444</v>
      </c>
      <c r="BG8" s="82" t="s">
        <v>448</v>
      </c>
      <c r="BH8" s="244"/>
      <c r="BI8" s="82" t="str">
        <f>IF(OR(ISBLANK(F8),ISBLANK(H8)),"N/A",IF(ABS((H8-F8)/F8)&gt;1,"&gt; 100%","ok"))</f>
        <v>N/A</v>
      </c>
      <c r="BJ8" s="244"/>
      <c r="BK8" s="82" t="str">
        <f>IF(OR(ISBLANK(H8),ISBLANK(J8)),"N/A",IF(ABS((J8-H8)/H8)&gt;0.25,"&gt; 25%","ok"))</f>
        <v>N/A</v>
      </c>
      <c r="BL8" s="82"/>
      <c r="BM8" s="82" t="str">
        <f>IF(OR(ISBLANK(J8),ISBLANK(L8)),"N/A",IF(ABS((L8-J8)/J8)&gt;0.25,"&gt; 25%","ok"))</f>
        <v>N/A</v>
      </c>
      <c r="BN8" s="82"/>
      <c r="BO8" s="82" t="str">
        <f>IF(OR(ISBLANK(L8),ISBLANK(N8)),"N/A",IF(ABS((N8-L8)/L8)&gt;0.25,"&gt; 25%","ok"))</f>
        <v>N/A</v>
      </c>
      <c r="BP8" s="82"/>
      <c r="BQ8" s="82" t="str">
        <f>IF(OR(ISBLANK(N8),ISBLANK(P8)),"N/A",IF(ABS((P8-N8)/N8)&gt;0.25,"&gt; 25%","ok"))</f>
        <v>N/A</v>
      </c>
      <c r="BR8" s="82"/>
      <c r="BS8" s="82" t="str">
        <f>IF(OR(ISBLANK(P8),ISBLANK(R8)),"N/A",IF(ABS((R8-P8)/P8)&gt;0.25,"&gt; 25%","ok"))</f>
        <v>N/A</v>
      </c>
      <c r="BT8" s="82"/>
      <c r="BU8" s="82" t="str">
        <f>IF(OR(ISBLANK(R8),ISBLANK(T8)),"N/A",IF(ABS((T8-R8)/R8)&gt;0.25,"&gt; 25%","ok"))</f>
        <v>N/A</v>
      </c>
      <c r="BV8" s="82"/>
      <c r="BW8" s="82" t="str">
        <f>IF(OR(ISBLANK(T8),ISBLANK(V8)),"N/A",IF(ABS((V8-T8)/T8)&gt;0.25,"&gt; 25%","ok"))</f>
        <v>N/A</v>
      </c>
      <c r="BX8" s="82"/>
      <c r="BY8" s="82" t="str">
        <f>IF(OR(ISBLANK(V8),ISBLANK(X8)),"N/A",IF(ABS((X8-V8)/V8)&gt;0.25,"&gt; 25%","ok"))</f>
        <v>N/A</v>
      </c>
      <c r="BZ8" s="82"/>
      <c r="CA8" s="82" t="str">
        <f>IF(OR(ISBLANK(X8),ISBLANK(Z8)),"N/A",IF(ABS((Z8-X8)/X8)&gt;0.25,"&gt; 25%","ok"))</f>
        <v>N/A</v>
      </c>
      <c r="CB8" s="82"/>
      <c r="CC8" s="82" t="str">
        <f>IF(OR(ISBLANK(Z8),ISBLANK(AB8)),"N/A",IF(ABS((AB8-Z8)/Z8)&gt;0.25,"&gt; 25%","ok"))</f>
        <v>N/A</v>
      </c>
      <c r="CD8" s="82"/>
      <c r="CE8" s="82" t="str">
        <f>IF(OR(ISBLANK(AB8),ISBLANK(AD8)),"N/A",IF(ABS((AD8-AB8)/AB8)&gt;0.25,"&gt; 25%","ok"))</f>
        <v>N/A</v>
      </c>
      <c r="CF8" s="82"/>
      <c r="CG8" s="82" t="str">
        <f>IF(OR(ISBLANK(AD8),ISBLANK(AF8)),"N/A",IF(ABS((AF8-AD8)/AD8)&gt;0.25,"&gt; 25%","ok"))</f>
        <v>N/A</v>
      </c>
      <c r="CH8" s="82"/>
      <c r="CI8" s="82" t="str">
        <f>IF(OR(ISBLANK(AF8),ISBLANK(AH8)),"N/A",IF(ABS((AH8-AF8)/AF8)&gt;0.25,"&gt; 25%","ok"))</f>
        <v>N/A</v>
      </c>
      <c r="CJ8" s="82"/>
      <c r="CK8" s="82" t="str">
        <f>IF(OR(ISBLANK(AH8),ISBLANK(AJ8)),"N/A",IF(ABS((AJ8-AH8)/AH8)&gt;0.25,"&gt; 25%","ok"))</f>
        <v>N/A</v>
      </c>
      <c r="CL8" s="82"/>
      <c r="CM8" s="82" t="str">
        <f>IF(OR(ISBLANK(AJ8),ISBLANK(AL8)),"N/A",IF(ABS((AL8-AJ8)/AJ8)&gt;0.25,"&gt; 25%","ok"))</f>
        <v>N/A</v>
      </c>
      <c r="CN8" s="82"/>
      <c r="CO8" s="82" t="str">
        <f>IF(OR(ISBLANK(AL8),ISBLANK(AN8)),"N/A",IF(ABS((AN8-AL8)/AL8)&gt;0.25,"&gt; 25%","ok"))</f>
        <v>N/A</v>
      </c>
      <c r="CP8" s="82"/>
      <c r="CQ8" s="82" t="str">
        <f>IF(OR(ISBLANK(AN8),ISBLANK(AP8)),"N/A",IF(ABS((AP8-AN8)/AN8)&gt;0.25,"&gt; 25%","ok"))</f>
        <v>N/A</v>
      </c>
      <c r="CR8" s="82"/>
      <c r="CS8" s="82" t="str">
        <f>IF(OR(ISBLANK(AP8),ISBLANK(AR8)),"N/A",IF(ABS((AR8-AP8)/AP8)&gt;0.25,"&gt; 25%","ok"))</f>
        <v>N/A</v>
      </c>
      <c r="CT8" s="82"/>
      <c r="CU8" s="82" t="str">
        <f>IF(OR(ISBLANK(AR8),ISBLANK(AT8)),"N/A",IF(ABS((AT8-AR8)/AR8)&gt;0.25,"&gt; 25%","ok"))</f>
        <v>N/A</v>
      </c>
      <c r="CV8" s="82"/>
      <c r="CW8" s="82" t="str">
        <f>IF(OR(ISBLANK(AT8),ISBLANK(AV8)),"N/A",IF(ABS((AV8-AT8)/AT8)&gt;0.25,"&gt; 25%","ok"))</f>
        <v>N/A</v>
      </c>
      <c r="CX8" s="82"/>
      <c r="CY8" s="82" t="str">
        <f>IF(OR(ISBLANK(AV8),ISBLANK(AX8)),"N/A",IF(ABS((AX8-AV8)/AV8)&gt;0.25,"&gt; 25%","ok"))</f>
        <v>N/A</v>
      </c>
      <c r="CZ8" s="82"/>
      <c r="DA8" s="82" t="str">
        <f>IF(OR(ISBLANK(AX8),ISBLANK(AZ8)),"N/A",IF(ABS((AZ8-AX8)/AX8)&gt;0.25,"&gt; 25%","ok"))</f>
        <v>N/A</v>
      </c>
      <c r="DB8" s="82"/>
    </row>
    <row r="9" spans="1:106" s="228" customFormat="1" ht="14.25" customHeight="1">
      <c r="A9" s="223"/>
      <c r="B9" s="377">
        <v>25</v>
      </c>
      <c r="C9" s="257">
        <v>2</v>
      </c>
      <c r="D9" s="378" t="s">
        <v>500</v>
      </c>
      <c r="E9" s="260" t="s">
        <v>304</v>
      </c>
      <c r="F9" s="582"/>
      <c r="G9" s="596"/>
      <c r="H9" s="582"/>
      <c r="I9" s="596"/>
      <c r="J9" s="582"/>
      <c r="K9" s="596"/>
      <c r="L9" s="582"/>
      <c r="M9" s="596"/>
      <c r="N9" s="582"/>
      <c r="O9" s="596"/>
      <c r="P9" s="582"/>
      <c r="Q9" s="596"/>
      <c r="R9" s="582"/>
      <c r="S9" s="596"/>
      <c r="T9" s="582"/>
      <c r="U9" s="596"/>
      <c r="V9" s="582"/>
      <c r="W9" s="596"/>
      <c r="X9" s="582"/>
      <c r="Y9" s="596"/>
      <c r="Z9" s="582"/>
      <c r="AA9" s="596"/>
      <c r="AB9" s="582"/>
      <c r="AC9" s="596"/>
      <c r="AD9" s="582"/>
      <c r="AE9" s="596"/>
      <c r="AF9" s="582"/>
      <c r="AG9" s="596"/>
      <c r="AH9" s="582"/>
      <c r="AI9" s="596"/>
      <c r="AJ9" s="582"/>
      <c r="AK9" s="596"/>
      <c r="AL9" s="582"/>
      <c r="AM9" s="596"/>
      <c r="AN9" s="582"/>
      <c r="AO9" s="596"/>
      <c r="AP9" s="582"/>
      <c r="AQ9" s="596"/>
      <c r="AR9" s="582"/>
      <c r="AS9" s="596"/>
      <c r="AT9" s="582"/>
      <c r="AU9" s="596"/>
      <c r="AV9" s="582"/>
      <c r="AW9" s="596"/>
      <c r="AX9" s="582"/>
      <c r="AY9" s="596"/>
      <c r="AZ9" s="582"/>
      <c r="BA9" s="596"/>
      <c r="BC9" s="380"/>
      <c r="BD9" s="608">
        <v>2</v>
      </c>
      <c r="BE9" s="306" t="s">
        <v>458</v>
      </c>
      <c r="BF9" s="84" t="s">
        <v>444</v>
      </c>
      <c r="BG9" s="82" t="s">
        <v>448</v>
      </c>
      <c r="BH9" s="244"/>
      <c r="BI9" s="82" t="str">
        <f>IF(OR(ISBLANK(F9),ISBLANK(H9)),"N/A",IF(ABS((H9-F9)/F9)&gt;1,"&gt; 100%","ok"))</f>
        <v>N/A</v>
      </c>
      <c r="BJ9" s="244"/>
      <c r="BK9" s="82" t="str">
        <f>IF(OR(ISBLANK(H9),ISBLANK(J9)),"N/A",IF(ABS((J9-H9)/H9)&gt;0.25,"&gt; 25%","ok"))</f>
        <v>N/A</v>
      </c>
      <c r="BL9" s="82"/>
      <c r="BM9" s="82" t="str">
        <f>IF(OR(ISBLANK(J9),ISBLANK(L9)),"N/A",IF(ABS((L9-J9)/J9)&gt;0.25,"&gt; 25%","ok"))</f>
        <v>N/A</v>
      </c>
      <c r="BN9" s="82"/>
      <c r="BO9" s="82" t="str">
        <f>IF(OR(ISBLANK(L9),ISBLANK(N9)),"N/A",IF(ABS((N9-L9)/L9)&gt;0.25,"&gt; 25%","ok"))</f>
        <v>N/A</v>
      </c>
      <c r="BP9" s="82"/>
      <c r="BQ9" s="82" t="str">
        <f>IF(OR(ISBLANK(N9),ISBLANK(P9)),"N/A",IF(ABS((P9-N9)/N9)&gt;0.25,"&gt; 25%","ok"))</f>
        <v>N/A</v>
      </c>
      <c r="BR9" s="82"/>
      <c r="BS9" s="82" t="str">
        <f>IF(OR(ISBLANK(P9),ISBLANK(R9)),"N/A",IF(ABS((R9-P9)/P9)&gt;0.25,"&gt; 25%","ok"))</f>
        <v>N/A</v>
      </c>
      <c r="BT9" s="82"/>
      <c r="BU9" s="82" t="str">
        <f>IF(OR(ISBLANK(R9),ISBLANK(T9)),"N/A",IF(ABS((T9-R9)/R9)&gt;0.25,"&gt; 25%","ok"))</f>
        <v>N/A</v>
      </c>
      <c r="BV9" s="82"/>
      <c r="BW9" s="82" t="str">
        <f>IF(OR(ISBLANK(T9),ISBLANK(V9)),"N/A",IF(ABS((V9-T9)/T9)&gt;0.25,"&gt; 25%","ok"))</f>
        <v>N/A</v>
      </c>
      <c r="BX9" s="82"/>
      <c r="BY9" s="82" t="str">
        <f>IF(OR(ISBLANK(V9),ISBLANK(X9)),"N/A",IF(ABS((X9-V9)/V9)&gt;0.25,"&gt; 25%","ok"))</f>
        <v>N/A</v>
      </c>
      <c r="BZ9" s="82"/>
      <c r="CA9" s="82" t="str">
        <f>IF(OR(ISBLANK(X9),ISBLANK(Z9)),"N/A",IF(ABS((Z9-X9)/X9)&gt;0.25,"&gt; 25%","ok"))</f>
        <v>N/A</v>
      </c>
      <c r="CB9" s="82"/>
      <c r="CC9" s="82" t="str">
        <f>IF(OR(ISBLANK(Z9),ISBLANK(AB9)),"N/A",IF(ABS((AB9-Z9)/Z9)&gt;0.25,"&gt; 25%","ok"))</f>
        <v>N/A</v>
      </c>
      <c r="CD9" s="82"/>
      <c r="CE9" s="82" t="str">
        <f>IF(OR(ISBLANK(AB9),ISBLANK(AD9)),"N/A",IF(ABS((AD9-AB9)/AB9)&gt;0.25,"&gt; 25%","ok"))</f>
        <v>N/A</v>
      </c>
      <c r="CF9" s="82"/>
      <c r="CG9" s="82" t="str">
        <f>IF(OR(ISBLANK(AD9),ISBLANK(AF9)),"N/A",IF(ABS((AF9-AD9)/AD9)&gt;0.25,"&gt; 25%","ok"))</f>
        <v>N/A</v>
      </c>
      <c r="CH9" s="82"/>
      <c r="CI9" s="82" t="str">
        <f>IF(OR(ISBLANK(AF9),ISBLANK(AH9)),"N/A",IF(ABS((AH9-AF9)/AF9)&gt;0.25,"&gt; 25%","ok"))</f>
        <v>N/A</v>
      </c>
      <c r="CJ9" s="82"/>
      <c r="CK9" s="82" t="str">
        <f>IF(OR(ISBLANK(AH9),ISBLANK(AJ9)),"N/A",IF(ABS((AJ9-AH9)/AH9)&gt;0.25,"&gt; 25%","ok"))</f>
        <v>N/A</v>
      </c>
      <c r="CL9" s="82"/>
      <c r="CM9" s="82" t="str">
        <f>IF(OR(ISBLANK(AJ9),ISBLANK(AL9)),"N/A",IF(ABS((AL9-AJ9)/AJ9)&gt;0.25,"&gt; 25%","ok"))</f>
        <v>N/A</v>
      </c>
      <c r="CN9" s="82"/>
      <c r="CO9" s="82" t="str">
        <f>IF(OR(ISBLANK(AL9),ISBLANK(AN9)),"N/A",IF(ABS((AN9-AL9)/AL9)&gt;0.25,"&gt; 25%","ok"))</f>
        <v>N/A</v>
      </c>
      <c r="CP9" s="82"/>
      <c r="CQ9" s="82" t="str">
        <f aca="true" t="shared" si="0" ref="CQ9:CQ38">IF(OR(ISBLANK(AN9),ISBLANK(AP9)),"N/A",IF(ABS((AP9-AN9)/AN9)&gt;0.25,"&gt; 25%","ok"))</f>
        <v>N/A</v>
      </c>
      <c r="CR9" s="82"/>
      <c r="CS9" s="82" t="str">
        <f>IF(OR(ISBLANK(AP9),ISBLANK(AR9)),"N/A",IF(ABS((AR9-AP9)/AP9)&gt;0.25,"&gt; 25%","ok"))</f>
        <v>N/A</v>
      </c>
      <c r="CT9" s="82"/>
      <c r="CU9" s="82" t="str">
        <f>IF(OR(ISBLANK(AR9),ISBLANK(AT9)),"N/A",IF(ABS((AT9-AR9)/AR9)&gt;0.25,"&gt; 25%","ok"))</f>
        <v>N/A</v>
      </c>
      <c r="CV9" s="82"/>
      <c r="CW9" s="82" t="str">
        <f>IF(OR(ISBLANK(AT9),ISBLANK(AV9)),"N/A",IF(ABS((AV9-AT9)/AT9)&gt;0.25,"&gt; 25%","ok"))</f>
        <v>N/A</v>
      </c>
      <c r="CX9" s="82"/>
      <c r="CY9" s="82" t="str">
        <f>IF(OR(ISBLANK(AV9),ISBLANK(AX9)),"N/A",IF(ABS((AX9-AV9)/AV9)&gt;0.25,"&gt; 25%","ok"))</f>
        <v>N/A</v>
      </c>
      <c r="CZ9" s="82"/>
      <c r="DA9" s="82" t="str">
        <f aca="true" t="shared" si="1" ref="DA9:DA38">IF(OR(ISBLANK(AX9),ISBLANK(AZ9)),"N/A",IF(ABS((AZ9-AX9)/AX9)&gt;0.25,"&gt; 25%","ok"))</f>
        <v>N/A</v>
      </c>
      <c r="DB9" s="82"/>
    </row>
    <row r="10" spans="1:106" s="384" customFormat="1" ht="14.25" customHeight="1">
      <c r="A10" s="381" t="s">
        <v>439</v>
      </c>
      <c r="B10" s="382">
        <v>5001</v>
      </c>
      <c r="C10" s="396">
        <v>3</v>
      </c>
      <c r="D10" s="383" t="s">
        <v>509</v>
      </c>
      <c r="E10" s="260" t="s">
        <v>304</v>
      </c>
      <c r="F10" s="578"/>
      <c r="G10" s="592"/>
      <c r="H10" s="578"/>
      <c r="I10" s="592"/>
      <c r="J10" s="578"/>
      <c r="K10" s="592"/>
      <c r="L10" s="578"/>
      <c r="M10" s="592"/>
      <c r="N10" s="578"/>
      <c r="O10" s="592"/>
      <c r="P10" s="578"/>
      <c r="Q10" s="592"/>
      <c r="R10" s="578"/>
      <c r="S10" s="592"/>
      <c r="T10" s="578"/>
      <c r="U10" s="592"/>
      <c r="V10" s="578"/>
      <c r="W10" s="592"/>
      <c r="X10" s="578"/>
      <c r="Y10" s="592"/>
      <c r="Z10" s="578"/>
      <c r="AA10" s="592"/>
      <c r="AB10" s="578"/>
      <c r="AC10" s="592"/>
      <c r="AD10" s="578"/>
      <c r="AE10" s="592"/>
      <c r="AF10" s="578"/>
      <c r="AG10" s="592"/>
      <c r="AH10" s="578"/>
      <c r="AI10" s="592"/>
      <c r="AJ10" s="578"/>
      <c r="AK10" s="592"/>
      <c r="AL10" s="578"/>
      <c r="AM10" s="592"/>
      <c r="AN10" s="578"/>
      <c r="AO10" s="592"/>
      <c r="AP10" s="578"/>
      <c r="AQ10" s="592"/>
      <c r="AR10" s="578"/>
      <c r="AS10" s="592"/>
      <c r="AT10" s="578"/>
      <c r="AU10" s="592"/>
      <c r="AV10" s="578"/>
      <c r="AW10" s="592"/>
      <c r="AX10" s="578"/>
      <c r="AY10" s="592"/>
      <c r="AZ10" s="578"/>
      <c r="BA10" s="592"/>
      <c r="BC10" s="385"/>
      <c r="BD10" s="658">
        <v>3</v>
      </c>
      <c r="BE10" s="387" t="s">
        <v>459</v>
      </c>
      <c r="BF10" s="84" t="s">
        <v>444</v>
      </c>
      <c r="BG10" s="109" t="s">
        <v>448</v>
      </c>
      <c r="BH10" s="388"/>
      <c r="BI10" s="82" t="str">
        <f aca="true" t="shared" si="2" ref="BI10:BI38">IF(OR(ISBLANK(F10),ISBLANK(H10)),"N/A",IF(ABS((H10-F10)/F10)&gt;1,"&gt; 100%","ok"))</f>
        <v>N/A</v>
      </c>
      <c r="BJ10" s="244"/>
      <c r="BK10" s="82" t="str">
        <f>IF(OR(ISBLANK(H10),ISBLANK(J10)),"N/A",IF(ABS((J10-H10)/H10)&gt;0.25,"&gt; 25%","ok"))</f>
        <v>N/A</v>
      </c>
      <c r="BL10" s="82"/>
      <c r="BM10" s="82" t="str">
        <f>IF(OR(ISBLANK(J10),ISBLANK(L10)),"N/A",IF(ABS((L10-J10)/J10)&gt;0.25,"&gt; 25%","ok"))</f>
        <v>N/A</v>
      </c>
      <c r="BN10" s="82"/>
      <c r="BO10" s="82" t="str">
        <f>IF(OR(ISBLANK(L10),ISBLANK(N10)),"N/A",IF(ABS((N10-L10)/L10)&gt;0.25,"&gt; 25%","ok"))</f>
        <v>N/A</v>
      </c>
      <c r="BP10" s="82"/>
      <c r="BQ10" s="82" t="str">
        <f>IF(OR(ISBLANK(N10),ISBLANK(P10)),"N/A",IF(ABS((P10-N10)/N10)&gt;0.25,"&gt; 25%","ok"))</f>
        <v>N/A</v>
      </c>
      <c r="BR10" s="82"/>
      <c r="BS10" s="82" t="str">
        <f aca="true" t="shared" si="3" ref="BS10:BS38">IF(OR(ISBLANK(P10),ISBLANK(R10)),"N/A",IF(ABS((R10-P10)/P10)&gt;0.25,"&gt; 25%","ok"))</f>
        <v>N/A</v>
      </c>
      <c r="BT10" s="82"/>
      <c r="BU10" s="82" t="str">
        <f aca="true" t="shared" si="4" ref="BU10:BU38">IF(OR(ISBLANK(R10),ISBLANK(T10)),"N/A",IF(ABS((T10-R10)/R10)&gt;0.25,"&gt; 25%","ok"))</f>
        <v>N/A</v>
      </c>
      <c r="BV10" s="82"/>
      <c r="BW10" s="82" t="str">
        <f aca="true" t="shared" si="5" ref="BW10:BW38">IF(OR(ISBLANK(T10),ISBLANK(V10)),"N/A",IF(ABS((V10-T10)/T10)&gt;0.25,"&gt; 25%","ok"))</f>
        <v>N/A</v>
      </c>
      <c r="BX10" s="82"/>
      <c r="BY10" s="82" t="str">
        <f aca="true" t="shared" si="6" ref="BY10:BY38">IF(OR(ISBLANK(V10),ISBLANK(X10)),"N/A",IF(ABS((X10-V10)/V10)&gt;0.25,"&gt; 25%","ok"))</f>
        <v>N/A</v>
      </c>
      <c r="BZ10" s="82"/>
      <c r="CA10" s="82" t="str">
        <f aca="true" t="shared" si="7" ref="CA10:CA38">IF(OR(ISBLANK(X10),ISBLANK(Z10)),"N/A",IF(ABS((Z10-X10)/X10)&gt;0.25,"&gt; 25%","ok"))</f>
        <v>N/A</v>
      </c>
      <c r="CB10" s="82"/>
      <c r="CC10" s="82" t="str">
        <f aca="true" t="shared" si="8" ref="CC10:CC38">IF(OR(ISBLANK(Z10),ISBLANK(AB10)),"N/A",IF(ABS((AB10-Z10)/Z10)&gt;0.25,"&gt; 25%","ok"))</f>
        <v>N/A</v>
      </c>
      <c r="CD10" s="82"/>
      <c r="CE10" s="82" t="str">
        <f aca="true" t="shared" si="9" ref="CE10:CE38">IF(OR(ISBLANK(AB10),ISBLANK(AD10)),"N/A",IF(ABS((AD10-AB10)/AB10)&gt;0.25,"&gt; 25%","ok"))</f>
        <v>N/A</v>
      </c>
      <c r="CF10" s="82"/>
      <c r="CG10" s="82" t="str">
        <f aca="true" t="shared" si="10" ref="CG10:CG38">IF(OR(ISBLANK(AD10),ISBLANK(AF10)),"N/A",IF(ABS((AF10-AD10)/AD10)&gt;0.25,"&gt; 25%","ok"))</f>
        <v>N/A</v>
      </c>
      <c r="CH10" s="82"/>
      <c r="CI10" s="82" t="str">
        <f aca="true" t="shared" si="11" ref="CI10:CI38">IF(OR(ISBLANK(AF10),ISBLANK(AH10)),"N/A",IF(ABS((AH10-AF10)/AF10)&gt;0.25,"&gt; 25%","ok"))</f>
        <v>N/A</v>
      </c>
      <c r="CJ10" s="82"/>
      <c r="CK10" s="82" t="str">
        <f aca="true" t="shared" si="12" ref="CK10:CK38">IF(OR(ISBLANK(AH10),ISBLANK(AJ10)),"N/A",IF(ABS((AJ10-AH10)/AH10)&gt;0.25,"&gt; 25%","ok"))</f>
        <v>N/A</v>
      </c>
      <c r="CL10" s="82"/>
      <c r="CM10" s="82" t="str">
        <f aca="true" t="shared" si="13" ref="CM10:CM38">IF(OR(ISBLANK(AJ10),ISBLANK(AL10)),"N/A",IF(ABS((AL10-AJ10)/AJ10)&gt;0.25,"&gt; 25%","ok"))</f>
        <v>N/A</v>
      </c>
      <c r="CN10" s="82"/>
      <c r="CO10" s="82" t="str">
        <f aca="true" t="shared" si="14" ref="CO10:CO38">IF(OR(ISBLANK(AL10),ISBLANK(AN10)),"N/A",IF(ABS((AN10-AL10)/AL10)&gt;0.25,"&gt; 25%","ok"))</f>
        <v>N/A</v>
      </c>
      <c r="CP10" s="82"/>
      <c r="CQ10" s="82" t="str">
        <f t="shared" si="0"/>
        <v>N/A</v>
      </c>
      <c r="CR10" s="82"/>
      <c r="CS10" s="82" t="str">
        <f aca="true" t="shared" si="15" ref="CS10:CS38">IF(OR(ISBLANK(AP10),ISBLANK(AR10)),"N/A",IF(ABS((AR10-AP10)/AP10)&gt;0.25,"&gt; 25%","ok"))</f>
        <v>N/A</v>
      </c>
      <c r="CT10" s="82"/>
      <c r="CU10" s="82" t="str">
        <f aca="true" t="shared" si="16" ref="CU10:CU38">IF(OR(ISBLANK(AR10),ISBLANK(AT10)),"N/A",IF(ABS((AT10-AR10)/AR10)&gt;0.25,"&gt; 25%","ok"))</f>
        <v>N/A</v>
      </c>
      <c r="CV10" s="82"/>
      <c r="CW10" s="82" t="str">
        <f>IF(OR(ISBLANK(AT10),ISBLANK(AV10)),"N/A",IF(ABS((AV10-AT10)/AT10)&gt;0.25,"&gt; 25%","ok"))</f>
        <v>N/A</v>
      </c>
      <c r="CX10" s="82"/>
      <c r="CY10" s="82" t="str">
        <f>IF(OR(ISBLANK(AV10),ISBLANK(AX10)),"N/A",IF(ABS((AX10-AV10)/AV10)&gt;0.25,"&gt; 25%","ok"))</f>
        <v>N/A</v>
      </c>
      <c r="CZ10" s="82"/>
      <c r="DA10" s="82" t="str">
        <f t="shared" si="1"/>
        <v>N/A</v>
      </c>
      <c r="DB10" s="109"/>
    </row>
    <row r="11" spans="1:106" s="212" customFormat="1" ht="14.25" customHeight="1">
      <c r="A11" s="209"/>
      <c r="B11" s="377">
        <v>5002</v>
      </c>
      <c r="C11" s="608"/>
      <c r="D11" s="607" t="s">
        <v>310</v>
      </c>
      <c r="E11" s="608"/>
      <c r="F11" s="603"/>
      <c r="G11" s="604"/>
      <c r="H11" s="603"/>
      <c r="I11" s="604"/>
      <c r="J11" s="603"/>
      <c r="K11" s="604"/>
      <c r="L11" s="603"/>
      <c r="M11" s="604"/>
      <c r="N11" s="603"/>
      <c r="O11" s="604"/>
      <c r="P11" s="603"/>
      <c r="Q11" s="604"/>
      <c r="R11" s="603"/>
      <c r="S11" s="604"/>
      <c r="T11" s="603"/>
      <c r="U11" s="604"/>
      <c r="V11" s="603"/>
      <c r="W11" s="604"/>
      <c r="X11" s="603"/>
      <c r="Y11" s="604"/>
      <c r="Z11" s="603"/>
      <c r="AA11" s="604"/>
      <c r="AB11" s="603"/>
      <c r="AC11" s="604"/>
      <c r="AD11" s="603"/>
      <c r="AE11" s="604"/>
      <c r="AF11" s="603"/>
      <c r="AG11" s="604"/>
      <c r="AH11" s="603"/>
      <c r="AI11" s="604"/>
      <c r="AJ11" s="603"/>
      <c r="AK11" s="604"/>
      <c r="AL11" s="603"/>
      <c r="AM11" s="604"/>
      <c r="AN11" s="603"/>
      <c r="AO11" s="604"/>
      <c r="AP11" s="603"/>
      <c r="AQ11" s="604"/>
      <c r="AR11" s="603"/>
      <c r="AS11" s="604"/>
      <c r="AT11" s="603"/>
      <c r="AU11" s="604"/>
      <c r="AV11" s="603"/>
      <c r="AW11" s="604"/>
      <c r="AX11" s="603"/>
      <c r="AY11" s="604"/>
      <c r="AZ11" s="603"/>
      <c r="BA11" s="604"/>
      <c r="BC11" s="213"/>
      <c r="BD11" s="608"/>
      <c r="BE11" s="390" t="s">
        <v>119</v>
      </c>
      <c r="BF11" s="84"/>
      <c r="BG11" s="82"/>
      <c r="BH11" s="244"/>
      <c r="BI11" s="82"/>
      <c r="BJ11" s="244"/>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row>
    <row r="12" spans="1:106" s="212" customFormat="1" ht="14.25" customHeight="1">
      <c r="A12" s="209"/>
      <c r="B12" s="377">
        <v>255</v>
      </c>
      <c r="C12" s="257">
        <v>4</v>
      </c>
      <c r="D12" s="391" t="s">
        <v>325</v>
      </c>
      <c r="E12" s="260" t="s">
        <v>304</v>
      </c>
      <c r="F12" s="582"/>
      <c r="G12" s="596"/>
      <c r="H12" s="582"/>
      <c r="I12" s="596"/>
      <c r="J12" s="582"/>
      <c r="K12" s="596"/>
      <c r="L12" s="582"/>
      <c r="M12" s="596"/>
      <c r="N12" s="582"/>
      <c r="O12" s="596"/>
      <c r="P12" s="582"/>
      <c r="Q12" s="596"/>
      <c r="R12" s="582"/>
      <c r="S12" s="596"/>
      <c r="T12" s="582"/>
      <c r="U12" s="596"/>
      <c r="V12" s="582"/>
      <c r="W12" s="596"/>
      <c r="X12" s="582"/>
      <c r="Y12" s="596"/>
      <c r="Z12" s="582"/>
      <c r="AA12" s="596"/>
      <c r="AB12" s="582"/>
      <c r="AC12" s="596"/>
      <c r="AD12" s="582"/>
      <c r="AE12" s="596"/>
      <c r="AF12" s="582"/>
      <c r="AG12" s="596"/>
      <c r="AH12" s="582"/>
      <c r="AI12" s="596"/>
      <c r="AJ12" s="582"/>
      <c r="AK12" s="596"/>
      <c r="AL12" s="582"/>
      <c r="AM12" s="596"/>
      <c r="AN12" s="582"/>
      <c r="AO12" s="596"/>
      <c r="AP12" s="582"/>
      <c r="AQ12" s="596"/>
      <c r="AR12" s="582"/>
      <c r="AS12" s="596"/>
      <c r="AT12" s="582"/>
      <c r="AU12" s="596"/>
      <c r="AV12" s="582"/>
      <c r="AW12" s="596"/>
      <c r="AX12" s="582"/>
      <c r="AY12" s="596"/>
      <c r="AZ12" s="582"/>
      <c r="BA12" s="596"/>
      <c r="BC12" s="213"/>
      <c r="BD12" s="608">
        <v>4</v>
      </c>
      <c r="BE12" s="392" t="s">
        <v>463</v>
      </c>
      <c r="BF12" s="84" t="s">
        <v>444</v>
      </c>
      <c r="BG12" s="82" t="s">
        <v>448</v>
      </c>
      <c r="BH12" s="244"/>
      <c r="BI12" s="82" t="str">
        <f t="shared" si="2"/>
        <v>N/A</v>
      </c>
      <c r="BJ12" s="244"/>
      <c r="BK12" s="82" t="str">
        <f aca="true" t="shared" si="17" ref="BK12:BK28">IF(OR(ISBLANK(H12),ISBLANK(J12)),"N/A",IF(ABS((J12-H12)/H12)&gt;0.25,"&gt; 25%","ok"))</f>
        <v>N/A</v>
      </c>
      <c r="BL12" s="82"/>
      <c r="BM12" s="82" t="str">
        <f aca="true" t="shared" si="18" ref="BM12:BM28">IF(OR(ISBLANK(J12),ISBLANK(L12)),"N/A",IF(ABS((L12-J12)/J12)&gt;0.25,"&gt; 25%","ok"))</f>
        <v>N/A</v>
      </c>
      <c r="BN12" s="82"/>
      <c r="BO12" s="82" t="str">
        <f aca="true" t="shared" si="19" ref="BO12:BO28">IF(OR(ISBLANK(L12),ISBLANK(N12)),"N/A",IF(ABS((N12-L12)/L12)&gt;0.25,"&gt; 25%","ok"))</f>
        <v>N/A</v>
      </c>
      <c r="BP12" s="82"/>
      <c r="BQ12" s="82" t="str">
        <f aca="true" t="shared" si="20" ref="BQ12:BQ28">IF(OR(ISBLANK(N12),ISBLANK(P12)),"N/A",IF(ABS((P12-N12)/N12)&gt;0.25,"&gt; 25%","ok"))</f>
        <v>N/A</v>
      </c>
      <c r="BR12" s="82"/>
      <c r="BS12" s="82" t="str">
        <f t="shared" si="3"/>
        <v>N/A</v>
      </c>
      <c r="BT12" s="82"/>
      <c r="BU12" s="82" t="str">
        <f t="shared" si="4"/>
        <v>N/A</v>
      </c>
      <c r="BV12" s="82"/>
      <c r="BW12" s="82" t="str">
        <f t="shared" si="5"/>
        <v>N/A</v>
      </c>
      <c r="BX12" s="82"/>
      <c r="BY12" s="82" t="str">
        <f t="shared" si="6"/>
        <v>N/A</v>
      </c>
      <c r="BZ12" s="82"/>
      <c r="CA12" s="82" t="str">
        <f t="shared" si="7"/>
        <v>N/A</v>
      </c>
      <c r="CB12" s="82"/>
      <c r="CC12" s="82" t="str">
        <f t="shared" si="8"/>
        <v>N/A</v>
      </c>
      <c r="CD12" s="82"/>
      <c r="CE12" s="82" t="str">
        <f t="shared" si="9"/>
        <v>N/A</v>
      </c>
      <c r="CF12" s="82"/>
      <c r="CG12" s="82" t="str">
        <f t="shared" si="10"/>
        <v>N/A</v>
      </c>
      <c r="CH12" s="82"/>
      <c r="CI12" s="82" t="str">
        <f t="shared" si="11"/>
        <v>N/A</v>
      </c>
      <c r="CJ12" s="82"/>
      <c r="CK12" s="82" t="str">
        <f t="shared" si="12"/>
        <v>N/A</v>
      </c>
      <c r="CL12" s="82"/>
      <c r="CM12" s="82" t="str">
        <f t="shared" si="13"/>
        <v>N/A</v>
      </c>
      <c r="CN12" s="82"/>
      <c r="CO12" s="82" t="str">
        <f t="shared" si="14"/>
        <v>N/A</v>
      </c>
      <c r="CP12" s="82"/>
      <c r="CQ12" s="82" t="str">
        <f t="shared" si="0"/>
        <v>N/A</v>
      </c>
      <c r="CR12" s="82"/>
      <c r="CS12" s="82" t="str">
        <f t="shared" si="15"/>
        <v>N/A</v>
      </c>
      <c r="CT12" s="82"/>
      <c r="CU12" s="82" t="str">
        <f t="shared" si="16"/>
        <v>N/A</v>
      </c>
      <c r="CV12" s="82"/>
      <c r="CW12" s="82" t="str">
        <f aca="true" t="shared" si="21" ref="CW12:CW28">IF(OR(ISBLANK(AT12),ISBLANK(AV12)),"N/A",IF(ABS((AV12-AT12)/AT12)&gt;0.25,"&gt; 25%","ok"))</f>
        <v>N/A</v>
      </c>
      <c r="CX12" s="82"/>
      <c r="CY12" s="82" t="str">
        <f aca="true" t="shared" si="22" ref="CY12:CY28">IF(OR(ISBLANK(AV12),ISBLANK(AX12)),"N/A",IF(ABS((AX12-AV12)/AV12)&gt;0.25,"&gt; 25%","ok"))</f>
        <v>N/A</v>
      </c>
      <c r="CZ12" s="82"/>
      <c r="DA12" s="82" t="str">
        <f t="shared" si="1"/>
        <v>N/A</v>
      </c>
      <c r="DB12" s="82"/>
    </row>
    <row r="13" spans="1:106" s="212" customFormat="1" ht="14.25" customHeight="1">
      <c r="A13" s="209"/>
      <c r="B13" s="377">
        <v>256</v>
      </c>
      <c r="C13" s="257">
        <v>5</v>
      </c>
      <c r="D13" s="391" t="s">
        <v>311</v>
      </c>
      <c r="E13" s="260" t="s">
        <v>304</v>
      </c>
      <c r="F13" s="582"/>
      <c r="G13" s="596"/>
      <c r="H13" s="582"/>
      <c r="I13" s="596"/>
      <c r="J13" s="582"/>
      <c r="K13" s="596"/>
      <c r="L13" s="582"/>
      <c r="M13" s="596"/>
      <c r="N13" s="582"/>
      <c r="O13" s="596"/>
      <c r="P13" s="582"/>
      <c r="Q13" s="596"/>
      <c r="R13" s="582"/>
      <c r="S13" s="596"/>
      <c r="T13" s="582"/>
      <c r="U13" s="596"/>
      <c r="V13" s="582"/>
      <c r="W13" s="596"/>
      <c r="X13" s="582"/>
      <c r="Y13" s="596"/>
      <c r="Z13" s="582"/>
      <c r="AA13" s="596"/>
      <c r="AB13" s="582"/>
      <c r="AC13" s="596"/>
      <c r="AD13" s="582"/>
      <c r="AE13" s="596"/>
      <c r="AF13" s="582"/>
      <c r="AG13" s="596"/>
      <c r="AH13" s="582"/>
      <c r="AI13" s="596"/>
      <c r="AJ13" s="582"/>
      <c r="AK13" s="596"/>
      <c r="AL13" s="582"/>
      <c r="AM13" s="596"/>
      <c r="AN13" s="582"/>
      <c r="AO13" s="596"/>
      <c r="AP13" s="582"/>
      <c r="AQ13" s="596"/>
      <c r="AR13" s="582"/>
      <c r="AS13" s="596"/>
      <c r="AT13" s="582"/>
      <c r="AU13" s="596"/>
      <c r="AV13" s="582"/>
      <c r="AW13" s="596"/>
      <c r="AX13" s="582"/>
      <c r="AY13" s="596"/>
      <c r="AZ13" s="582"/>
      <c r="BA13" s="596"/>
      <c r="BC13" s="213"/>
      <c r="BD13" s="608">
        <v>5</v>
      </c>
      <c r="BE13" s="392" t="s">
        <v>65</v>
      </c>
      <c r="BF13" s="84" t="s">
        <v>444</v>
      </c>
      <c r="BG13" s="82" t="s">
        <v>448</v>
      </c>
      <c r="BH13" s="244"/>
      <c r="BI13" s="82" t="str">
        <f t="shared" si="2"/>
        <v>N/A</v>
      </c>
      <c r="BJ13" s="244"/>
      <c r="BK13" s="82" t="str">
        <f t="shared" si="17"/>
        <v>N/A</v>
      </c>
      <c r="BL13" s="82"/>
      <c r="BM13" s="82" t="str">
        <f t="shared" si="18"/>
        <v>N/A</v>
      </c>
      <c r="BN13" s="82"/>
      <c r="BO13" s="82" t="str">
        <f t="shared" si="19"/>
        <v>N/A</v>
      </c>
      <c r="BP13" s="82"/>
      <c r="BQ13" s="82" t="str">
        <f t="shared" si="20"/>
        <v>N/A</v>
      </c>
      <c r="BR13" s="82"/>
      <c r="BS13" s="82" t="str">
        <f t="shared" si="3"/>
        <v>N/A</v>
      </c>
      <c r="BT13" s="82"/>
      <c r="BU13" s="82" t="str">
        <f t="shared" si="4"/>
        <v>N/A</v>
      </c>
      <c r="BV13" s="82"/>
      <c r="BW13" s="82" t="str">
        <f t="shared" si="5"/>
        <v>N/A</v>
      </c>
      <c r="BX13" s="82"/>
      <c r="BY13" s="82" t="str">
        <f t="shared" si="6"/>
        <v>N/A</v>
      </c>
      <c r="BZ13" s="82"/>
      <c r="CA13" s="82" t="str">
        <f t="shared" si="7"/>
        <v>N/A</v>
      </c>
      <c r="CB13" s="82"/>
      <c r="CC13" s="82" t="str">
        <f t="shared" si="8"/>
        <v>N/A</v>
      </c>
      <c r="CD13" s="82"/>
      <c r="CE13" s="82" t="str">
        <f t="shared" si="9"/>
        <v>N/A</v>
      </c>
      <c r="CF13" s="82"/>
      <c r="CG13" s="82" t="str">
        <f t="shared" si="10"/>
        <v>N/A</v>
      </c>
      <c r="CH13" s="82"/>
      <c r="CI13" s="82" t="str">
        <f t="shared" si="11"/>
        <v>N/A</v>
      </c>
      <c r="CJ13" s="82"/>
      <c r="CK13" s="82" t="str">
        <f t="shared" si="12"/>
        <v>N/A</v>
      </c>
      <c r="CL13" s="82"/>
      <c r="CM13" s="82" t="str">
        <f t="shared" si="13"/>
        <v>N/A</v>
      </c>
      <c r="CN13" s="82"/>
      <c r="CO13" s="82" t="str">
        <f t="shared" si="14"/>
        <v>N/A</v>
      </c>
      <c r="CP13" s="82"/>
      <c r="CQ13" s="82" t="str">
        <f t="shared" si="0"/>
        <v>N/A</v>
      </c>
      <c r="CR13" s="82"/>
      <c r="CS13" s="82" t="str">
        <f t="shared" si="15"/>
        <v>N/A</v>
      </c>
      <c r="CT13" s="82"/>
      <c r="CU13" s="82" t="str">
        <f t="shared" si="16"/>
        <v>N/A</v>
      </c>
      <c r="CV13" s="82"/>
      <c r="CW13" s="82" t="str">
        <f t="shared" si="21"/>
        <v>N/A</v>
      </c>
      <c r="CX13" s="82"/>
      <c r="CY13" s="82" t="str">
        <f t="shared" si="22"/>
        <v>N/A</v>
      </c>
      <c r="CZ13" s="82"/>
      <c r="DA13" s="82" t="str">
        <f t="shared" si="1"/>
        <v>N/A</v>
      </c>
      <c r="DB13" s="82"/>
    </row>
    <row r="14" spans="1:106" s="212" customFormat="1" ht="25.5" customHeight="1">
      <c r="A14" s="209"/>
      <c r="B14" s="377">
        <v>257</v>
      </c>
      <c r="C14" s="257">
        <v>6</v>
      </c>
      <c r="D14" s="393" t="s">
        <v>326</v>
      </c>
      <c r="E14" s="260" t="s">
        <v>304</v>
      </c>
      <c r="F14" s="582"/>
      <c r="G14" s="596"/>
      <c r="H14" s="582"/>
      <c r="I14" s="596"/>
      <c r="J14" s="582"/>
      <c r="K14" s="596"/>
      <c r="L14" s="582"/>
      <c r="M14" s="596"/>
      <c r="N14" s="582"/>
      <c r="O14" s="596"/>
      <c r="P14" s="582"/>
      <c r="Q14" s="596"/>
      <c r="R14" s="582"/>
      <c r="S14" s="596"/>
      <c r="T14" s="582"/>
      <c r="U14" s="596"/>
      <c r="V14" s="582"/>
      <c r="W14" s="596"/>
      <c r="X14" s="582"/>
      <c r="Y14" s="596"/>
      <c r="Z14" s="582"/>
      <c r="AA14" s="596"/>
      <c r="AB14" s="582"/>
      <c r="AC14" s="596"/>
      <c r="AD14" s="582"/>
      <c r="AE14" s="596"/>
      <c r="AF14" s="582"/>
      <c r="AG14" s="596"/>
      <c r="AH14" s="582"/>
      <c r="AI14" s="596"/>
      <c r="AJ14" s="582"/>
      <c r="AK14" s="596"/>
      <c r="AL14" s="582"/>
      <c r="AM14" s="596"/>
      <c r="AN14" s="582"/>
      <c r="AO14" s="596"/>
      <c r="AP14" s="582"/>
      <c r="AQ14" s="596"/>
      <c r="AR14" s="582"/>
      <c r="AS14" s="596"/>
      <c r="AT14" s="582"/>
      <c r="AU14" s="596"/>
      <c r="AV14" s="582"/>
      <c r="AW14" s="596"/>
      <c r="AX14" s="582"/>
      <c r="AY14" s="596"/>
      <c r="AZ14" s="582"/>
      <c r="BA14" s="596"/>
      <c r="BC14" s="213"/>
      <c r="BD14" s="608">
        <v>6</v>
      </c>
      <c r="BE14" s="392" t="s">
        <v>456</v>
      </c>
      <c r="BF14" s="84" t="s">
        <v>444</v>
      </c>
      <c r="BG14" s="82" t="s">
        <v>448</v>
      </c>
      <c r="BH14" s="244"/>
      <c r="BI14" s="82" t="str">
        <f t="shared" si="2"/>
        <v>N/A</v>
      </c>
      <c r="BJ14" s="244"/>
      <c r="BK14" s="82" t="str">
        <f>IF(OR(ISBLANK(H14),ISBLANK(J14)),"N/A",IF(ABS((J14-H14)/H14)&gt;0.25,"&gt; 25%","ok"))</f>
        <v>N/A</v>
      </c>
      <c r="BL14" s="82"/>
      <c r="BM14" s="82" t="str">
        <f t="shared" si="18"/>
        <v>N/A</v>
      </c>
      <c r="BN14" s="82"/>
      <c r="BO14" s="82" t="str">
        <f t="shared" si="19"/>
        <v>N/A</v>
      </c>
      <c r="BP14" s="82"/>
      <c r="BQ14" s="82" t="str">
        <f t="shared" si="20"/>
        <v>N/A</v>
      </c>
      <c r="BR14" s="82"/>
      <c r="BS14" s="82" t="str">
        <f t="shared" si="3"/>
        <v>N/A</v>
      </c>
      <c r="BT14" s="82"/>
      <c r="BU14" s="82" t="str">
        <f t="shared" si="4"/>
        <v>N/A</v>
      </c>
      <c r="BV14" s="82"/>
      <c r="BW14" s="82" t="str">
        <f t="shared" si="5"/>
        <v>N/A</v>
      </c>
      <c r="BX14" s="82"/>
      <c r="BY14" s="82" t="str">
        <f t="shared" si="6"/>
        <v>N/A</v>
      </c>
      <c r="BZ14" s="82"/>
      <c r="CA14" s="82" t="str">
        <f t="shared" si="7"/>
        <v>N/A</v>
      </c>
      <c r="CB14" s="82"/>
      <c r="CC14" s="82" t="str">
        <f t="shared" si="8"/>
        <v>N/A</v>
      </c>
      <c r="CD14" s="82"/>
      <c r="CE14" s="82" t="str">
        <f t="shared" si="9"/>
        <v>N/A</v>
      </c>
      <c r="CF14" s="82"/>
      <c r="CG14" s="82" t="str">
        <f t="shared" si="10"/>
        <v>N/A</v>
      </c>
      <c r="CH14" s="82"/>
      <c r="CI14" s="82" t="str">
        <f t="shared" si="11"/>
        <v>N/A</v>
      </c>
      <c r="CJ14" s="82"/>
      <c r="CK14" s="82" t="str">
        <f t="shared" si="12"/>
        <v>N/A</v>
      </c>
      <c r="CL14" s="82"/>
      <c r="CM14" s="82" t="str">
        <f t="shared" si="13"/>
        <v>N/A</v>
      </c>
      <c r="CN14" s="82"/>
      <c r="CO14" s="82" t="str">
        <f t="shared" si="14"/>
        <v>N/A</v>
      </c>
      <c r="CP14" s="82"/>
      <c r="CQ14" s="82" t="str">
        <f t="shared" si="0"/>
        <v>N/A</v>
      </c>
      <c r="CR14" s="82"/>
      <c r="CS14" s="82" t="str">
        <f t="shared" si="15"/>
        <v>N/A</v>
      </c>
      <c r="CT14" s="82"/>
      <c r="CU14" s="82" t="str">
        <f t="shared" si="16"/>
        <v>N/A</v>
      </c>
      <c r="CV14" s="82"/>
      <c r="CW14" s="82" t="str">
        <f t="shared" si="21"/>
        <v>N/A</v>
      </c>
      <c r="CX14" s="82"/>
      <c r="CY14" s="82" t="str">
        <f t="shared" si="22"/>
        <v>N/A</v>
      </c>
      <c r="CZ14" s="82"/>
      <c r="DA14" s="82" t="str">
        <f t="shared" si="1"/>
        <v>N/A</v>
      </c>
      <c r="DB14" s="82"/>
    </row>
    <row r="15" spans="1:106" s="212" customFormat="1" ht="14.25" customHeight="1">
      <c r="A15" s="209"/>
      <c r="B15" s="377">
        <v>263</v>
      </c>
      <c r="C15" s="257">
        <v>7</v>
      </c>
      <c r="D15" s="389" t="s">
        <v>328</v>
      </c>
      <c r="E15" s="260" t="s">
        <v>304</v>
      </c>
      <c r="F15" s="582"/>
      <c r="G15" s="596"/>
      <c r="H15" s="582"/>
      <c r="I15" s="596"/>
      <c r="J15" s="582"/>
      <c r="K15" s="596"/>
      <c r="L15" s="582"/>
      <c r="M15" s="596"/>
      <c r="N15" s="582"/>
      <c r="O15" s="596"/>
      <c r="P15" s="582"/>
      <c r="Q15" s="596"/>
      <c r="R15" s="582"/>
      <c r="S15" s="596"/>
      <c r="T15" s="582"/>
      <c r="U15" s="596"/>
      <c r="V15" s="582"/>
      <c r="W15" s="596"/>
      <c r="X15" s="582"/>
      <c r="Y15" s="596"/>
      <c r="Z15" s="582"/>
      <c r="AA15" s="596"/>
      <c r="AB15" s="582"/>
      <c r="AC15" s="596"/>
      <c r="AD15" s="582"/>
      <c r="AE15" s="596"/>
      <c r="AF15" s="582"/>
      <c r="AG15" s="596"/>
      <c r="AH15" s="582"/>
      <c r="AI15" s="596"/>
      <c r="AJ15" s="582"/>
      <c r="AK15" s="596"/>
      <c r="AL15" s="582"/>
      <c r="AM15" s="596"/>
      <c r="AN15" s="582"/>
      <c r="AO15" s="596"/>
      <c r="AP15" s="582"/>
      <c r="AQ15" s="596"/>
      <c r="AR15" s="582"/>
      <c r="AS15" s="596"/>
      <c r="AT15" s="582"/>
      <c r="AU15" s="596"/>
      <c r="AV15" s="582"/>
      <c r="AW15" s="596"/>
      <c r="AX15" s="582"/>
      <c r="AY15" s="596"/>
      <c r="AZ15" s="582"/>
      <c r="BA15" s="596"/>
      <c r="BC15" s="213"/>
      <c r="BD15" s="608">
        <v>7</v>
      </c>
      <c r="BE15" s="465" t="s">
        <v>645</v>
      </c>
      <c r="BF15" s="84" t="s">
        <v>444</v>
      </c>
      <c r="BG15" s="82"/>
      <c r="BH15" s="244"/>
      <c r="BI15" s="82" t="str">
        <f>IF(OR(ISBLANK(F15),ISBLANK(H15)),"N/A",IF(ABS((H15-F15)/F15)&gt;1,"&gt; 100%","ok"))</f>
        <v>N/A</v>
      </c>
      <c r="BJ15" s="244"/>
      <c r="BK15" s="82" t="str">
        <f>IF(OR(ISBLANK(H15),ISBLANK(J15)),"N/A",IF(ABS((J15-H15)/H15)&gt;0.25,"&gt; 25%","ok"))</f>
        <v>N/A</v>
      </c>
      <c r="BL15" s="82"/>
      <c r="BM15" s="82" t="str">
        <f>IF(OR(ISBLANK(J15),ISBLANK(L15)),"N/A",IF(ABS((L15-J15)/J15)&gt;0.25,"&gt; 25%","ok"))</f>
        <v>N/A</v>
      </c>
      <c r="BN15" s="82"/>
      <c r="BO15" s="82" t="str">
        <f>IF(OR(ISBLANK(L15),ISBLANK(N15)),"N/A",IF(ABS((N15-L15)/L15)&gt;0.25,"&gt; 25%","ok"))</f>
        <v>N/A</v>
      </c>
      <c r="BP15" s="82"/>
      <c r="BQ15" s="82" t="str">
        <f>IF(OR(ISBLANK(N15),ISBLANK(P15)),"N/A",IF(ABS((P15-N15)/N15)&gt;0.25,"&gt; 25%","ok"))</f>
        <v>N/A</v>
      </c>
      <c r="BR15" s="82"/>
      <c r="BS15" s="82" t="str">
        <f>IF(OR(ISBLANK(P15),ISBLANK(R15)),"N/A",IF(ABS((R15-P15)/P15)&gt;0.25,"&gt; 25%","ok"))</f>
        <v>N/A</v>
      </c>
      <c r="BT15" s="82"/>
      <c r="BU15" s="82" t="str">
        <f>IF(OR(ISBLANK(R15),ISBLANK(T15)),"N/A",IF(ABS((T15-R15)/R15)&gt;0.25,"&gt; 25%","ok"))</f>
        <v>N/A</v>
      </c>
      <c r="BV15" s="82"/>
      <c r="BW15" s="82" t="str">
        <f>IF(OR(ISBLANK(T15),ISBLANK(V15)),"N/A",IF(ABS((V15-T15)/T15)&gt;0.25,"&gt; 25%","ok"))</f>
        <v>N/A</v>
      </c>
      <c r="BX15" s="82"/>
      <c r="BY15" s="82" t="str">
        <f>IF(OR(ISBLANK(V15),ISBLANK(X15)),"N/A",IF(ABS((X15-V15)/V15)&gt;0.25,"&gt; 25%","ok"))</f>
        <v>N/A</v>
      </c>
      <c r="BZ15" s="82"/>
      <c r="CA15" s="82" t="str">
        <f>IF(OR(ISBLANK(X15),ISBLANK(Z15)),"N/A",IF(ABS((Z15-X15)/X15)&gt;0.25,"&gt; 25%","ok"))</f>
        <v>N/A</v>
      </c>
      <c r="CB15" s="82"/>
      <c r="CC15" s="82" t="str">
        <f>IF(OR(ISBLANK(Z15),ISBLANK(AB15)),"N/A",IF(ABS((AB15-Z15)/Z15)&gt;0.25,"&gt; 25%","ok"))</f>
        <v>N/A</v>
      </c>
      <c r="CD15" s="82"/>
      <c r="CE15" s="82" t="str">
        <f>IF(OR(ISBLANK(AB15),ISBLANK(AD15)),"N/A",IF(ABS((AD15-AB15)/AB15)&gt;0.25,"&gt; 25%","ok"))</f>
        <v>N/A</v>
      </c>
      <c r="CF15" s="82"/>
      <c r="CG15" s="82" t="str">
        <f>IF(OR(ISBLANK(AD15),ISBLANK(AF15)),"N/A",IF(ABS((AF15-AD15)/AD15)&gt;0.25,"&gt; 25%","ok"))</f>
        <v>N/A</v>
      </c>
      <c r="CH15" s="82"/>
      <c r="CI15" s="82" t="str">
        <f>IF(OR(ISBLANK(AF15),ISBLANK(AH15)),"N/A",IF(ABS((AH15-AF15)/AF15)&gt;0.25,"&gt; 25%","ok"))</f>
        <v>N/A</v>
      </c>
      <c r="CJ15" s="82"/>
      <c r="CK15" s="82" t="str">
        <f>IF(OR(ISBLANK(AH15),ISBLANK(AJ15)),"N/A",IF(ABS((AJ15-AH15)/AH15)&gt;0.25,"&gt; 25%","ok"))</f>
        <v>N/A</v>
      </c>
      <c r="CL15" s="82"/>
      <c r="CM15" s="82" t="str">
        <f>IF(OR(ISBLANK(AJ15),ISBLANK(AL15)),"N/A",IF(ABS((AL15-AJ15)/AJ15)&gt;0.25,"&gt; 25%","ok"))</f>
        <v>N/A</v>
      </c>
      <c r="CN15" s="82"/>
      <c r="CO15" s="82" t="str">
        <f>IF(OR(ISBLANK(AL15),ISBLANK(AN15)),"N/A",IF(ABS((AN15-AL15)/AL15)&gt;0.25,"&gt; 25%","ok"))</f>
        <v>N/A</v>
      </c>
      <c r="CP15" s="82"/>
      <c r="CQ15" s="82" t="str">
        <f>IF(OR(ISBLANK(AN15),ISBLANK(AP15)),"N/A",IF(ABS((AP15-AN15)/AN15)&gt;0.25,"&gt; 25%","ok"))</f>
        <v>N/A</v>
      </c>
      <c r="CR15" s="82"/>
      <c r="CS15" s="82" t="str">
        <f>IF(OR(ISBLANK(AP15),ISBLANK(AR15)),"N/A",IF(ABS((AR15-AP15)/AP15)&gt;0.25,"&gt; 25%","ok"))</f>
        <v>N/A</v>
      </c>
      <c r="CT15" s="82"/>
      <c r="CU15" s="82" t="str">
        <f>IF(OR(ISBLANK(AR15),ISBLANK(AT15)),"N/A",IF(ABS((AT15-AR15)/AR15)&gt;0.25,"&gt; 25%","ok"))</f>
        <v>N/A</v>
      </c>
      <c r="CV15" s="82"/>
      <c r="CW15" s="82" t="str">
        <f>IF(OR(ISBLANK(AT15),ISBLANK(AV15)),"N/A",IF(ABS((AV15-AT15)/AT15)&gt;0.25,"&gt; 25%","ok"))</f>
        <v>N/A</v>
      </c>
      <c r="CX15" s="82"/>
      <c r="CY15" s="82" t="str">
        <f>IF(OR(ISBLANK(AV15),ISBLANK(AX15)),"N/A",IF(ABS((AX15-AV15)/AV15)&gt;0.25,"&gt; 25%","ok"))</f>
        <v>N/A</v>
      </c>
      <c r="CZ15" s="82"/>
      <c r="DA15" s="82" t="str">
        <f t="shared" si="1"/>
        <v>N/A</v>
      </c>
      <c r="DB15" s="82"/>
    </row>
    <row r="16" spans="1:106" s="212" customFormat="1" ht="14.25" customHeight="1">
      <c r="A16" s="209"/>
      <c r="B16" s="377">
        <v>264</v>
      </c>
      <c r="C16" s="257">
        <v>8</v>
      </c>
      <c r="D16" s="393" t="s">
        <v>573</v>
      </c>
      <c r="E16" s="260" t="s">
        <v>304</v>
      </c>
      <c r="F16" s="582"/>
      <c r="G16" s="596"/>
      <c r="H16" s="582"/>
      <c r="I16" s="596"/>
      <c r="J16" s="582"/>
      <c r="K16" s="596"/>
      <c r="L16" s="582"/>
      <c r="M16" s="596"/>
      <c r="N16" s="582"/>
      <c r="O16" s="596"/>
      <c r="P16" s="582"/>
      <c r="Q16" s="596"/>
      <c r="R16" s="582"/>
      <c r="S16" s="596"/>
      <c r="T16" s="582"/>
      <c r="U16" s="596"/>
      <c r="V16" s="582"/>
      <c r="W16" s="596"/>
      <c r="X16" s="582"/>
      <c r="Y16" s="596"/>
      <c r="Z16" s="582"/>
      <c r="AA16" s="596"/>
      <c r="AB16" s="582"/>
      <c r="AC16" s="596"/>
      <c r="AD16" s="582"/>
      <c r="AE16" s="596"/>
      <c r="AF16" s="582"/>
      <c r="AG16" s="596"/>
      <c r="AH16" s="582"/>
      <c r="AI16" s="596"/>
      <c r="AJ16" s="582"/>
      <c r="AK16" s="596"/>
      <c r="AL16" s="582"/>
      <c r="AM16" s="596"/>
      <c r="AN16" s="582"/>
      <c r="AO16" s="596"/>
      <c r="AP16" s="582"/>
      <c r="AQ16" s="596"/>
      <c r="AR16" s="582"/>
      <c r="AS16" s="596"/>
      <c r="AT16" s="582"/>
      <c r="AU16" s="596"/>
      <c r="AV16" s="582"/>
      <c r="AW16" s="596"/>
      <c r="AX16" s="582"/>
      <c r="AY16" s="596"/>
      <c r="AZ16" s="582"/>
      <c r="BA16" s="596"/>
      <c r="BC16" s="213"/>
      <c r="BD16" s="608">
        <v>8</v>
      </c>
      <c r="BE16" s="392" t="s">
        <v>646</v>
      </c>
      <c r="BF16" s="84" t="s">
        <v>444</v>
      </c>
      <c r="BG16" s="82"/>
      <c r="BH16" s="244"/>
      <c r="BI16" s="82" t="str">
        <f>IF(OR(ISBLANK(F16),ISBLANK(H16)),"N/A",IF(ABS((H16-F16)/F16)&gt;1,"&gt; 100%","ok"))</f>
        <v>N/A</v>
      </c>
      <c r="BJ16" s="244"/>
      <c r="BK16" s="82" t="str">
        <f>IF(OR(ISBLANK(H16),ISBLANK(J16)),"N/A",IF(ABS((J16-H16)/H16)&gt;0.25,"&gt; 25%","ok"))</f>
        <v>N/A</v>
      </c>
      <c r="BL16" s="82"/>
      <c r="BM16" s="82" t="str">
        <f>IF(OR(ISBLANK(J16),ISBLANK(L16)),"N/A",IF(ABS((L16-J16)/J16)&gt;0.25,"&gt; 25%","ok"))</f>
        <v>N/A</v>
      </c>
      <c r="BN16" s="82"/>
      <c r="BO16" s="82" t="str">
        <f>IF(OR(ISBLANK(L16),ISBLANK(N16)),"N/A",IF(ABS((N16-L16)/L16)&gt;0.25,"&gt; 25%","ok"))</f>
        <v>N/A</v>
      </c>
      <c r="BP16" s="82"/>
      <c r="BQ16" s="82" t="str">
        <f>IF(OR(ISBLANK(N16),ISBLANK(P16)),"N/A",IF(ABS((P16-N16)/N16)&gt;0.25,"&gt; 25%","ok"))</f>
        <v>N/A</v>
      </c>
      <c r="BR16" s="82"/>
      <c r="BS16" s="82" t="str">
        <f>IF(OR(ISBLANK(P16),ISBLANK(R16)),"N/A",IF(ABS((R16-P16)/P16)&gt;0.25,"&gt; 25%","ok"))</f>
        <v>N/A</v>
      </c>
      <c r="BT16" s="82"/>
      <c r="BU16" s="82" t="str">
        <f>IF(OR(ISBLANK(R16),ISBLANK(T16)),"N/A",IF(ABS((T16-R16)/R16)&gt;0.25,"&gt; 25%","ok"))</f>
        <v>N/A</v>
      </c>
      <c r="BV16" s="82"/>
      <c r="BW16" s="82" t="str">
        <f>IF(OR(ISBLANK(T16),ISBLANK(V16)),"N/A",IF(ABS((V16-T16)/T16)&gt;0.25,"&gt; 25%","ok"))</f>
        <v>N/A</v>
      </c>
      <c r="BX16" s="82"/>
      <c r="BY16" s="82" t="str">
        <f>IF(OR(ISBLANK(V16),ISBLANK(X16)),"N/A",IF(ABS((X16-V16)/V16)&gt;0.25,"&gt; 25%","ok"))</f>
        <v>N/A</v>
      </c>
      <c r="BZ16" s="82"/>
      <c r="CA16" s="82" t="str">
        <f>IF(OR(ISBLANK(X16),ISBLANK(Z16)),"N/A",IF(ABS((Z16-X16)/X16)&gt;0.25,"&gt; 25%","ok"))</f>
        <v>N/A</v>
      </c>
      <c r="CB16" s="82"/>
      <c r="CC16" s="82" t="str">
        <f>IF(OR(ISBLANK(Z16),ISBLANK(AB16)),"N/A",IF(ABS((AB16-Z16)/Z16)&gt;0.25,"&gt; 25%","ok"))</f>
        <v>N/A</v>
      </c>
      <c r="CD16" s="82"/>
      <c r="CE16" s="82" t="str">
        <f>IF(OR(ISBLANK(AB16),ISBLANK(AD16)),"N/A",IF(ABS((AD16-AB16)/AB16)&gt;0.25,"&gt; 25%","ok"))</f>
        <v>N/A</v>
      </c>
      <c r="CF16" s="82"/>
      <c r="CG16" s="82" t="str">
        <f>IF(OR(ISBLANK(AD16),ISBLANK(AF16)),"N/A",IF(ABS((AF16-AD16)/AD16)&gt;0.25,"&gt; 25%","ok"))</f>
        <v>N/A</v>
      </c>
      <c r="CH16" s="82"/>
      <c r="CI16" s="82" t="str">
        <f>IF(OR(ISBLANK(AF16),ISBLANK(AH16)),"N/A",IF(ABS((AH16-AF16)/AF16)&gt;0.25,"&gt; 25%","ok"))</f>
        <v>N/A</v>
      </c>
      <c r="CJ16" s="82"/>
      <c r="CK16" s="82" t="str">
        <f>IF(OR(ISBLANK(AH16),ISBLANK(AJ16)),"N/A",IF(ABS((AJ16-AH16)/AH16)&gt;0.25,"&gt; 25%","ok"))</f>
        <v>N/A</v>
      </c>
      <c r="CL16" s="82"/>
      <c r="CM16" s="82" t="str">
        <f>IF(OR(ISBLANK(AJ16),ISBLANK(AL16)),"N/A",IF(ABS((AL16-AJ16)/AJ16)&gt;0.25,"&gt; 25%","ok"))</f>
        <v>N/A</v>
      </c>
      <c r="CN16" s="82"/>
      <c r="CO16" s="82" t="str">
        <f>IF(OR(ISBLANK(AL16),ISBLANK(AN16)),"N/A",IF(ABS((AN16-AL16)/AL16)&gt;0.25,"&gt; 25%","ok"))</f>
        <v>N/A</v>
      </c>
      <c r="CP16" s="82"/>
      <c r="CQ16" s="82" t="str">
        <f>IF(OR(ISBLANK(AN16),ISBLANK(AP16)),"N/A",IF(ABS((AP16-AN16)/AN16)&gt;0.25,"&gt; 25%","ok"))</f>
        <v>N/A</v>
      </c>
      <c r="CR16" s="82"/>
      <c r="CS16" s="82" t="str">
        <f>IF(OR(ISBLANK(AP16),ISBLANK(AR16)),"N/A",IF(ABS((AR16-AP16)/AP16)&gt;0.25,"&gt; 25%","ok"))</f>
        <v>N/A</v>
      </c>
      <c r="CT16" s="82"/>
      <c r="CU16" s="82" t="str">
        <f>IF(OR(ISBLANK(AR16),ISBLANK(AT16)),"N/A",IF(ABS((AT16-AR16)/AR16)&gt;0.25,"&gt; 25%","ok"))</f>
        <v>N/A</v>
      </c>
      <c r="CV16" s="82"/>
      <c r="CW16" s="82" t="str">
        <f>IF(OR(ISBLANK(AT16),ISBLANK(AV16)),"N/A",IF(ABS((AV16-AT16)/AT16)&gt;0.25,"&gt; 25%","ok"))</f>
        <v>N/A</v>
      </c>
      <c r="CX16" s="82"/>
      <c r="CY16" s="82" t="str">
        <f>IF(OR(ISBLANK(AV16),ISBLANK(AX16)),"N/A",IF(ABS((AX16-AV16)/AV16)&gt;0.25,"&gt; 25%","ok"))</f>
        <v>N/A</v>
      </c>
      <c r="CZ16" s="82"/>
      <c r="DA16" s="82" t="str">
        <f t="shared" si="1"/>
        <v>N/A</v>
      </c>
      <c r="DB16" s="82"/>
    </row>
    <row r="17" spans="1:106" s="212" customFormat="1" ht="14.25" customHeight="1">
      <c r="A17" s="209"/>
      <c r="B17" s="377">
        <v>258</v>
      </c>
      <c r="C17" s="257">
        <v>9</v>
      </c>
      <c r="D17" s="391" t="s">
        <v>345</v>
      </c>
      <c r="E17" s="260" t="s">
        <v>304</v>
      </c>
      <c r="F17" s="582"/>
      <c r="G17" s="596"/>
      <c r="H17" s="582"/>
      <c r="I17" s="596"/>
      <c r="J17" s="582"/>
      <c r="K17" s="596"/>
      <c r="L17" s="582"/>
      <c r="M17" s="596"/>
      <c r="N17" s="582"/>
      <c r="O17" s="596"/>
      <c r="P17" s="582"/>
      <c r="Q17" s="596"/>
      <c r="R17" s="582"/>
      <c r="S17" s="596"/>
      <c r="T17" s="582"/>
      <c r="U17" s="596"/>
      <c r="V17" s="582"/>
      <c r="W17" s="596"/>
      <c r="X17" s="582"/>
      <c r="Y17" s="596"/>
      <c r="Z17" s="582"/>
      <c r="AA17" s="596"/>
      <c r="AB17" s="582"/>
      <c r="AC17" s="596"/>
      <c r="AD17" s="582"/>
      <c r="AE17" s="596"/>
      <c r="AF17" s="582"/>
      <c r="AG17" s="596"/>
      <c r="AH17" s="582"/>
      <c r="AI17" s="596"/>
      <c r="AJ17" s="582"/>
      <c r="AK17" s="596"/>
      <c r="AL17" s="582"/>
      <c r="AM17" s="596"/>
      <c r="AN17" s="582"/>
      <c r="AO17" s="596"/>
      <c r="AP17" s="582"/>
      <c r="AQ17" s="596"/>
      <c r="AR17" s="582"/>
      <c r="AS17" s="596"/>
      <c r="AT17" s="582"/>
      <c r="AU17" s="596"/>
      <c r="AV17" s="582"/>
      <c r="AW17" s="596"/>
      <c r="AX17" s="582"/>
      <c r="AY17" s="596"/>
      <c r="AZ17" s="582"/>
      <c r="BA17" s="596"/>
      <c r="BC17" s="213"/>
      <c r="BD17" s="608">
        <v>9</v>
      </c>
      <c r="BE17" s="392" t="s">
        <v>383</v>
      </c>
      <c r="BF17" s="84" t="s">
        <v>444</v>
      </c>
      <c r="BG17" s="82" t="s">
        <v>448</v>
      </c>
      <c r="BH17" s="244"/>
      <c r="BI17" s="82" t="str">
        <f t="shared" si="2"/>
        <v>N/A</v>
      </c>
      <c r="BJ17" s="244"/>
      <c r="BK17" s="82" t="str">
        <f t="shared" si="17"/>
        <v>N/A</v>
      </c>
      <c r="BL17" s="82"/>
      <c r="BM17" s="82" t="str">
        <f t="shared" si="18"/>
        <v>N/A</v>
      </c>
      <c r="BN17" s="82"/>
      <c r="BO17" s="82" t="str">
        <f t="shared" si="19"/>
        <v>N/A</v>
      </c>
      <c r="BP17" s="82"/>
      <c r="BQ17" s="82" t="str">
        <f t="shared" si="20"/>
        <v>N/A</v>
      </c>
      <c r="BR17" s="82"/>
      <c r="BS17" s="82" t="str">
        <f t="shared" si="3"/>
        <v>N/A</v>
      </c>
      <c r="BT17" s="82"/>
      <c r="BU17" s="82" t="str">
        <f t="shared" si="4"/>
        <v>N/A</v>
      </c>
      <c r="BV17" s="82"/>
      <c r="BW17" s="82" t="str">
        <f t="shared" si="5"/>
        <v>N/A</v>
      </c>
      <c r="BX17" s="82"/>
      <c r="BY17" s="82" t="str">
        <f t="shared" si="6"/>
        <v>N/A</v>
      </c>
      <c r="BZ17" s="82"/>
      <c r="CA17" s="82" t="str">
        <f t="shared" si="7"/>
        <v>N/A</v>
      </c>
      <c r="CB17" s="82"/>
      <c r="CC17" s="82" t="str">
        <f t="shared" si="8"/>
        <v>N/A</v>
      </c>
      <c r="CD17" s="82"/>
      <c r="CE17" s="82" t="str">
        <f t="shared" si="9"/>
        <v>N/A</v>
      </c>
      <c r="CF17" s="82"/>
      <c r="CG17" s="82" t="str">
        <f t="shared" si="10"/>
        <v>N/A</v>
      </c>
      <c r="CH17" s="82"/>
      <c r="CI17" s="82" t="str">
        <f t="shared" si="11"/>
        <v>N/A</v>
      </c>
      <c r="CJ17" s="82"/>
      <c r="CK17" s="82" t="str">
        <f t="shared" si="12"/>
        <v>N/A</v>
      </c>
      <c r="CL17" s="82"/>
      <c r="CM17" s="82" t="str">
        <f t="shared" si="13"/>
        <v>N/A</v>
      </c>
      <c r="CN17" s="82"/>
      <c r="CO17" s="82" t="str">
        <f t="shared" si="14"/>
        <v>N/A</v>
      </c>
      <c r="CP17" s="82"/>
      <c r="CQ17" s="82" t="str">
        <f t="shared" si="0"/>
        <v>N/A</v>
      </c>
      <c r="CR17" s="82"/>
      <c r="CS17" s="82" t="str">
        <f t="shared" si="15"/>
        <v>N/A</v>
      </c>
      <c r="CT17" s="82"/>
      <c r="CU17" s="82" t="str">
        <f t="shared" si="16"/>
        <v>N/A</v>
      </c>
      <c r="CV17" s="82"/>
      <c r="CW17" s="82" t="str">
        <f t="shared" si="21"/>
        <v>N/A</v>
      </c>
      <c r="CX17" s="82"/>
      <c r="CY17" s="82" t="str">
        <f t="shared" si="22"/>
        <v>N/A</v>
      </c>
      <c r="CZ17" s="82"/>
      <c r="DA17" s="82" t="str">
        <f t="shared" si="1"/>
        <v>N/A</v>
      </c>
      <c r="DB17" s="82"/>
    </row>
    <row r="18" spans="1:106" s="212" customFormat="1" ht="25.5" customHeight="1">
      <c r="A18" s="209"/>
      <c r="B18" s="377">
        <v>265</v>
      </c>
      <c r="C18" s="257">
        <v>10</v>
      </c>
      <c r="D18" s="393" t="s">
        <v>574</v>
      </c>
      <c r="E18" s="260" t="s">
        <v>304</v>
      </c>
      <c r="F18" s="582"/>
      <c r="G18" s="596"/>
      <c r="H18" s="582"/>
      <c r="I18" s="596"/>
      <c r="J18" s="582"/>
      <c r="K18" s="596"/>
      <c r="L18" s="582"/>
      <c r="M18" s="596"/>
      <c r="N18" s="582"/>
      <c r="O18" s="596"/>
      <c r="P18" s="582"/>
      <c r="Q18" s="596"/>
      <c r="R18" s="582"/>
      <c r="S18" s="596"/>
      <c r="T18" s="582"/>
      <c r="U18" s="596"/>
      <c r="V18" s="582"/>
      <c r="W18" s="596"/>
      <c r="X18" s="582"/>
      <c r="Y18" s="596"/>
      <c r="Z18" s="582"/>
      <c r="AA18" s="596"/>
      <c r="AB18" s="582"/>
      <c r="AC18" s="596"/>
      <c r="AD18" s="582"/>
      <c r="AE18" s="596"/>
      <c r="AF18" s="582"/>
      <c r="AG18" s="596"/>
      <c r="AH18" s="582"/>
      <c r="AI18" s="596"/>
      <c r="AJ18" s="582"/>
      <c r="AK18" s="596"/>
      <c r="AL18" s="582"/>
      <c r="AM18" s="596"/>
      <c r="AN18" s="582"/>
      <c r="AO18" s="596"/>
      <c r="AP18" s="582"/>
      <c r="AQ18" s="596"/>
      <c r="AR18" s="582"/>
      <c r="AS18" s="596"/>
      <c r="AT18" s="582"/>
      <c r="AU18" s="596"/>
      <c r="AV18" s="582"/>
      <c r="AW18" s="596"/>
      <c r="AX18" s="582"/>
      <c r="AY18" s="596"/>
      <c r="AZ18" s="582"/>
      <c r="BA18" s="596"/>
      <c r="BC18" s="213"/>
      <c r="BD18" s="608">
        <v>10</v>
      </c>
      <c r="BE18" s="392" t="s">
        <v>647</v>
      </c>
      <c r="BF18" s="84" t="s">
        <v>444</v>
      </c>
      <c r="BG18" s="82"/>
      <c r="BH18" s="244"/>
      <c r="BI18" s="82" t="str">
        <f>IF(OR(ISBLANK(F18),ISBLANK(H18)),"N/A",IF(ABS((H18-F18)/F18)&gt;1,"&gt; 100%","ok"))</f>
        <v>N/A</v>
      </c>
      <c r="BJ18" s="244"/>
      <c r="BK18" s="82" t="str">
        <f>IF(OR(ISBLANK(H18),ISBLANK(J18)),"N/A",IF(ABS((J18-H18)/H18)&gt;0.25,"&gt; 25%","ok"))</f>
        <v>N/A</v>
      </c>
      <c r="BL18" s="82"/>
      <c r="BM18" s="82" t="str">
        <f>IF(OR(ISBLANK(J18),ISBLANK(L18)),"N/A",IF(ABS((L18-J18)/J18)&gt;0.25,"&gt; 25%","ok"))</f>
        <v>N/A</v>
      </c>
      <c r="BN18" s="82"/>
      <c r="BO18" s="82" t="str">
        <f>IF(OR(ISBLANK(L18),ISBLANK(N18)),"N/A",IF(ABS((N18-L18)/L18)&gt;0.25,"&gt; 25%","ok"))</f>
        <v>N/A</v>
      </c>
      <c r="BP18" s="82"/>
      <c r="BQ18" s="82" t="str">
        <f>IF(OR(ISBLANK(N18),ISBLANK(P18)),"N/A",IF(ABS((P18-N18)/N18)&gt;0.25,"&gt; 25%","ok"))</f>
        <v>N/A</v>
      </c>
      <c r="BR18" s="82"/>
      <c r="BS18" s="82" t="str">
        <f>IF(OR(ISBLANK(P18),ISBLANK(R18)),"N/A",IF(ABS((R18-P18)/P18)&gt;0.25,"&gt; 25%","ok"))</f>
        <v>N/A</v>
      </c>
      <c r="BT18" s="82"/>
      <c r="BU18" s="82" t="str">
        <f>IF(OR(ISBLANK(R18),ISBLANK(T18)),"N/A",IF(ABS((T18-R18)/R18)&gt;0.25,"&gt; 25%","ok"))</f>
        <v>N/A</v>
      </c>
      <c r="BV18" s="82"/>
      <c r="BW18" s="82" t="str">
        <f>IF(OR(ISBLANK(T18),ISBLANK(V18)),"N/A",IF(ABS((V18-T18)/T18)&gt;0.25,"&gt; 25%","ok"))</f>
        <v>N/A</v>
      </c>
      <c r="BX18" s="82"/>
      <c r="BY18" s="82" t="str">
        <f>IF(OR(ISBLANK(V18),ISBLANK(X18)),"N/A",IF(ABS((X18-V18)/V18)&gt;0.25,"&gt; 25%","ok"))</f>
        <v>N/A</v>
      </c>
      <c r="BZ18" s="82"/>
      <c r="CA18" s="82" t="str">
        <f>IF(OR(ISBLANK(X18),ISBLANK(Z18)),"N/A",IF(ABS((Z18-X18)/X18)&gt;0.25,"&gt; 25%","ok"))</f>
        <v>N/A</v>
      </c>
      <c r="CB18" s="82"/>
      <c r="CC18" s="82" t="str">
        <f>IF(OR(ISBLANK(Z18),ISBLANK(AB18)),"N/A",IF(ABS((AB18-Z18)/Z18)&gt;0.25,"&gt; 25%","ok"))</f>
        <v>N/A</v>
      </c>
      <c r="CD18" s="82"/>
      <c r="CE18" s="82" t="str">
        <f>IF(OR(ISBLANK(AB18),ISBLANK(AD18)),"N/A",IF(ABS((AD18-AB18)/AB18)&gt;0.25,"&gt; 25%","ok"))</f>
        <v>N/A</v>
      </c>
      <c r="CF18" s="82"/>
      <c r="CG18" s="82" t="str">
        <f>IF(OR(ISBLANK(AD18),ISBLANK(AF18)),"N/A",IF(ABS((AF18-AD18)/AD18)&gt;0.25,"&gt; 25%","ok"))</f>
        <v>N/A</v>
      </c>
      <c r="CH18" s="82"/>
      <c r="CI18" s="82" t="str">
        <f>IF(OR(ISBLANK(AF18),ISBLANK(AH18)),"N/A",IF(ABS((AH18-AF18)/AF18)&gt;0.25,"&gt; 25%","ok"))</f>
        <v>N/A</v>
      </c>
      <c r="CJ18" s="82"/>
      <c r="CK18" s="82" t="str">
        <f>IF(OR(ISBLANK(AH18),ISBLANK(AJ18)),"N/A",IF(ABS((AJ18-AH18)/AH18)&gt;0.25,"&gt; 25%","ok"))</f>
        <v>N/A</v>
      </c>
      <c r="CL18" s="82"/>
      <c r="CM18" s="82" t="str">
        <f>IF(OR(ISBLANK(AJ18),ISBLANK(AL18)),"N/A",IF(ABS((AL18-AJ18)/AJ18)&gt;0.25,"&gt; 25%","ok"))</f>
        <v>N/A</v>
      </c>
      <c r="CN18" s="82"/>
      <c r="CO18" s="82" t="str">
        <f>IF(OR(ISBLANK(AL18),ISBLANK(AN18)),"N/A",IF(ABS((AN18-AL18)/AL18)&gt;0.25,"&gt; 25%","ok"))</f>
        <v>N/A</v>
      </c>
      <c r="CP18" s="82"/>
      <c r="CQ18" s="82" t="str">
        <f>IF(OR(ISBLANK(AN18),ISBLANK(AP18)),"N/A",IF(ABS((AP18-AN18)/AN18)&gt;0.25,"&gt; 25%","ok"))</f>
        <v>N/A</v>
      </c>
      <c r="CR18" s="82"/>
      <c r="CS18" s="82" t="str">
        <f>IF(OR(ISBLANK(AP18),ISBLANK(AR18)),"N/A",IF(ABS((AR18-AP18)/AP18)&gt;0.25,"&gt; 25%","ok"))</f>
        <v>N/A</v>
      </c>
      <c r="CT18" s="82"/>
      <c r="CU18" s="82" t="str">
        <f>IF(OR(ISBLANK(AR18),ISBLANK(AT18)),"N/A",IF(ABS((AT18-AR18)/AR18)&gt;0.25,"&gt; 25%","ok"))</f>
        <v>N/A</v>
      </c>
      <c r="CV18" s="82"/>
      <c r="CW18" s="82" t="str">
        <f>IF(OR(ISBLANK(AT18),ISBLANK(AV18)),"N/A",IF(ABS((AV18-AT18)/AT18)&gt;0.25,"&gt; 25%","ok"))</f>
        <v>N/A</v>
      </c>
      <c r="CX18" s="82"/>
      <c r="CY18" s="82" t="str">
        <f>IF(OR(ISBLANK(AV18),ISBLANK(AX18)),"N/A",IF(ABS((AX18-AV18)/AV18)&gt;0.25,"&gt; 25%","ok"))</f>
        <v>N/A</v>
      </c>
      <c r="CZ18" s="82"/>
      <c r="DA18" s="82" t="str">
        <f t="shared" si="1"/>
        <v>N/A</v>
      </c>
      <c r="DB18" s="82"/>
    </row>
    <row r="19" spans="1:106" s="212" customFormat="1" ht="25.5" customHeight="1">
      <c r="A19" s="209"/>
      <c r="B19" s="377">
        <v>259</v>
      </c>
      <c r="C19" s="257">
        <v>11</v>
      </c>
      <c r="D19" s="461" t="s">
        <v>575</v>
      </c>
      <c r="E19" s="260" t="s">
        <v>304</v>
      </c>
      <c r="F19" s="582"/>
      <c r="G19" s="596"/>
      <c r="H19" s="582"/>
      <c r="I19" s="596"/>
      <c r="J19" s="582"/>
      <c r="K19" s="596"/>
      <c r="L19" s="582"/>
      <c r="M19" s="596"/>
      <c r="N19" s="582"/>
      <c r="O19" s="596"/>
      <c r="P19" s="582"/>
      <c r="Q19" s="596"/>
      <c r="R19" s="582"/>
      <c r="S19" s="596"/>
      <c r="T19" s="582"/>
      <c r="U19" s="596"/>
      <c r="V19" s="582"/>
      <c r="W19" s="596"/>
      <c r="X19" s="582"/>
      <c r="Y19" s="596"/>
      <c r="Z19" s="582"/>
      <c r="AA19" s="596"/>
      <c r="AB19" s="582"/>
      <c r="AC19" s="596"/>
      <c r="AD19" s="582"/>
      <c r="AE19" s="596"/>
      <c r="AF19" s="582"/>
      <c r="AG19" s="596"/>
      <c r="AH19" s="582"/>
      <c r="AI19" s="596"/>
      <c r="AJ19" s="582"/>
      <c r="AK19" s="596"/>
      <c r="AL19" s="582"/>
      <c r="AM19" s="596"/>
      <c r="AN19" s="582"/>
      <c r="AO19" s="596"/>
      <c r="AP19" s="582"/>
      <c r="AQ19" s="596"/>
      <c r="AR19" s="582"/>
      <c r="AS19" s="596"/>
      <c r="AT19" s="582"/>
      <c r="AU19" s="596"/>
      <c r="AV19" s="582"/>
      <c r="AW19" s="596"/>
      <c r="AX19" s="582"/>
      <c r="AY19" s="596"/>
      <c r="AZ19" s="582"/>
      <c r="BA19" s="596"/>
      <c r="BC19" s="213"/>
      <c r="BD19" s="608">
        <v>11</v>
      </c>
      <c r="BE19" s="464" t="s">
        <v>648</v>
      </c>
      <c r="BF19" s="84" t="s">
        <v>444</v>
      </c>
      <c r="BG19" s="82" t="s">
        <v>448</v>
      </c>
      <c r="BH19" s="244"/>
      <c r="BI19" s="82" t="str">
        <f t="shared" si="2"/>
        <v>N/A</v>
      </c>
      <c r="BJ19" s="244"/>
      <c r="BK19" s="82" t="str">
        <f t="shared" si="17"/>
        <v>N/A</v>
      </c>
      <c r="BL19" s="82"/>
      <c r="BM19" s="82" t="str">
        <f t="shared" si="18"/>
        <v>N/A</v>
      </c>
      <c r="BN19" s="82"/>
      <c r="BO19" s="82" t="str">
        <f t="shared" si="19"/>
        <v>N/A</v>
      </c>
      <c r="BP19" s="82"/>
      <c r="BQ19" s="82" t="str">
        <f t="shared" si="20"/>
        <v>N/A</v>
      </c>
      <c r="BR19" s="82"/>
      <c r="BS19" s="82" t="str">
        <f t="shared" si="3"/>
        <v>N/A</v>
      </c>
      <c r="BT19" s="82"/>
      <c r="BU19" s="82" t="str">
        <f t="shared" si="4"/>
        <v>N/A</v>
      </c>
      <c r="BV19" s="82"/>
      <c r="BW19" s="82" t="str">
        <f t="shared" si="5"/>
        <v>N/A</v>
      </c>
      <c r="BX19" s="82"/>
      <c r="BY19" s="82" t="str">
        <f t="shared" si="6"/>
        <v>N/A</v>
      </c>
      <c r="BZ19" s="82"/>
      <c r="CA19" s="82" t="str">
        <f t="shared" si="7"/>
        <v>N/A</v>
      </c>
      <c r="CB19" s="82"/>
      <c r="CC19" s="82" t="str">
        <f t="shared" si="8"/>
        <v>N/A</v>
      </c>
      <c r="CD19" s="82"/>
      <c r="CE19" s="82" t="str">
        <f t="shared" si="9"/>
        <v>N/A</v>
      </c>
      <c r="CF19" s="82"/>
      <c r="CG19" s="82" t="str">
        <f t="shared" si="10"/>
        <v>N/A</v>
      </c>
      <c r="CH19" s="82"/>
      <c r="CI19" s="82" t="str">
        <f t="shared" si="11"/>
        <v>N/A</v>
      </c>
      <c r="CJ19" s="82"/>
      <c r="CK19" s="82" t="str">
        <f t="shared" si="12"/>
        <v>N/A</v>
      </c>
      <c r="CL19" s="82"/>
      <c r="CM19" s="82" t="str">
        <f t="shared" si="13"/>
        <v>N/A</v>
      </c>
      <c r="CN19" s="82"/>
      <c r="CO19" s="82" t="str">
        <f t="shared" si="14"/>
        <v>N/A</v>
      </c>
      <c r="CP19" s="82"/>
      <c r="CQ19" s="82" t="str">
        <f t="shared" si="0"/>
        <v>N/A</v>
      </c>
      <c r="CR19" s="82"/>
      <c r="CS19" s="82" t="str">
        <f t="shared" si="15"/>
        <v>N/A</v>
      </c>
      <c r="CT19" s="82"/>
      <c r="CU19" s="82" t="str">
        <f t="shared" si="16"/>
        <v>N/A</v>
      </c>
      <c r="CV19" s="82"/>
      <c r="CW19" s="82" t="str">
        <f t="shared" si="21"/>
        <v>N/A</v>
      </c>
      <c r="CX19" s="82"/>
      <c r="CY19" s="82" t="str">
        <f t="shared" si="22"/>
        <v>N/A</v>
      </c>
      <c r="CZ19" s="82"/>
      <c r="DA19" s="82" t="str">
        <f t="shared" si="1"/>
        <v>N/A</v>
      </c>
      <c r="DB19" s="82"/>
    </row>
    <row r="20" spans="1:106" s="212" customFormat="1" ht="14.25" customHeight="1">
      <c r="A20" s="209"/>
      <c r="B20" s="377">
        <v>266</v>
      </c>
      <c r="C20" s="257">
        <v>12</v>
      </c>
      <c r="D20" s="393" t="s">
        <v>576</v>
      </c>
      <c r="E20" s="260" t="s">
        <v>304</v>
      </c>
      <c r="F20" s="582"/>
      <c r="G20" s="596"/>
      <c r="H20" s="582"/>
      <c r="I20" s="596"/>
      <c r="J20" s="582"/>
      <c r="K20" s="596"/>
      <c r="L20" s="582"/>
      <c r="M20" s="596"/>
      <c r="N20" s="582"/>
      <c r="O20" s="596"/>
      <c r="P20" s="582"/>
      <c r="Q20" s="596"/>
      <c r="R20" s="582"/>
      <c r="S20" s="596"/>
      <c r="T20" s="582"/>
      <c r="U20" s="596"/>
      <c r="V20" s="582"/>
      <c r="W20" s="596"/>
      <c r="X20" s="582"/>
      <c r="Y20" s="596"/>
      <c r="Z20" s="582"/>
      <c r="AA20" s="596"/>
      <c r="AB20" s="582"/>
      <c r="AC20" s="596"/>
      <c r="AD20" s="582"/>
      <c r="AE20" s="596"/>
      <c r="AF20" s="582"/>
      <c r="AG20" s="596"/>
      <c r="AH20" s="582"/>
      <c r="AI20" s="596"/>
      <c r="AJ20" s="582"/>
      <c r="AK20" s="596"/>
      <c r="AL20" s="582"/>
      <c r="AM20" s="596"/>
      <c r="AN20" s="582"/>
      <c r="AO20" s="596"/>
      <c r="AP20" s="582"/>
      <c r="AQ20" s="596"/>
      <c r="AR20" s="582"/>
      <c r="AS20" s="596"/>
      <c r="AT20" s="582"/>
      <c r="AU20" s="596"/>
      <c r="AV20" s="582"/>
      <c r="AW20" s="596"/>
      <c r="AX20" s="582"/>
      <c r="AY20" s="596"/>
      <c r="AZ20" s="582"/>
      <c r="BA20" s="596"/>
      <c r="BC20" s="213"/>
      <c r="BD20" s="608">
        <v>12</v>
      </c>
      <c r="BE20" s="394" t="s">
        <v>649</v>
      </c>
      <c r="BF20" s="84" t="s">
        <v>444</v>
      </c>
      <c r="BG20" s="82"/>
      <c r="BH20" s="244"/>
      <c r="BI20" s="82" t="str">
        <f>IF(OR(ISBLANK(F20),ISBLANK(H20)),"N/A",IF(ABS((H20-F20)/F20)&gt;1,"&gt; 100%","ok"))</f>
        <v>N/A</v>
      </c>
      <c r="BJ20" s="244"/>
      <c r="BK20" s="82" t="str">
        <f>IF(OR(ISBLANK(H20),ISBLANK(J20)),"N/A",IF(ABS((J20-H20)/H20)&gt;0.25,"&gt; 25%","ok"))</f>
        <v>N/A</v>
      </c>
      <c r="BL20" s="82"/>
      <c r="BM20" s="82" t="str">
        <f>IF(OR(ISBLANK(J20),ISBLANK(L20)),"N/A",IF(ABS((L20-J20)/J20)&gt;0.25,"&gt; 25%","ok"))</f>
        <v>N/A</v>
      </c>
      <c r="BN20" s="82"/>
      <c r="BO20" s="82" t="str">
        <f>IF(OR(ISBLANK(L20),ISBLANK(N20)),"N/A",IF(ABS((N20-L20)/L20)&gt;0.25,"&gt; 25%","ok"))</f>
        <v>N/A</v>
      </c>
      <c r="BP20" s="82"/>
      <c r="BQ20" s="82" t="str">
        <f>IF(OR(ISBLANK(N20),ISBLANK(P20)),"N/A",IF(ABS((P20-N20)/N20)&gt;0.25,"&gt; 25%","ok"))</f>
        <v>N/A</v>
      </c>
      <c r="BR20" s="82"/>
      <c r="BS20" s="82" t="str">
        <f>IF(OR(ISBLANK(P20),ISBLANK(R20)),"N/A",IF(ABS((R20-P20)/P20)&gt;0.25,"&gt; 25%","ok"))</f>
        <v>N/A</v>
      </c>
      <c r="BT20" s="82"/>
      <c r="BU20" s="82" t="str">
        <f>IF(OR(ISBLANK(R20),ISBLANK(T20)),"N/A",IF(ABS((T20-R20)/R20)&gt;0.25,"&gt; 25%","ok"))</f>
        <v>N/A</v>
      </c>
      <c r="BV20" s="82"/>
      <c r="BW20" s="82" t="str">
        <f>IF(OR(ISBLANK(T20),ISBLANK(V20)),"N/A",IF(ABS((V20-T20)/T20)&gt;0.25,"&gt; 25%","ok"))</f>
        <v>N/A</v>
      </c>
      <c r="BX20" s="82"/>
      <c r="BY20" s="82" t="str">
        <f>IF(OR(ISBLANK(V20),ISBLANK(X20)),"N/A",IF(ABS((X20-V20)/V20)&gt;0.25,"&gt; 25%","ok"))</f>
        <v>N/A</v>
      </c>
      <c r="BZ20" s="82"/>
      <c r="CA20" s="82" t="str">
        <f>IF(OR(ISBLANK(X20),ISBLANK(Z20)),"N/A",IF(ABS((Z20-X20)/X20)&gt;0.25,"&gt; 25%","ok"))</f>
        <v>N/A</v>
      </c>
      <c r="CB20" s="82"/>
      <c r="CC20" s="82" t="str">
        <f>IF(OR(ISBLANK(Z20),ISBLANK(AB20)),"N/A",IF(ABS((AB20-Z20)/Z20)&gt;0.25,"&gt; 25%","ok"))</f>
        <v>N/A</v>
      </c>
      <c r="CD20" s="82"/>
      <c r="CE20" s="82" t="str">
        <f>IF(OR(ISBLANK(AB20),ISBLANK(AD20)),"N/A",IF(ABS((AD20-AB20)/AB20)&gt;0.25,"&gt; 25%","ok"))</f>
        <v>N/A</v>
      </c>
      <c r="CF20" s="82"/>
      <c r="CG20" s="82" t="str">
        <f>IF(OR(ISBLANK(AD20),ISBLANK(AF20)),"N/A",IF(ABS((AF20-AD20)/AD20)&gt;0.25,"&gt; 25%","ok"))</f>
        <v>N/A</v>
      </c>
      <c r="CH20" s="82"/>
      <c r="CI20" s="82" t="str">
        <f>IF(OR(ISBLANK(AF20),ISBLANK(AH20)),"N/A",IF(ABS((AH20-AF20)/AF20)&gt;0.25,"&gt; 25%","ok"))</f>
        <v>N/A</v>
      </c>
      <c r="CJ20" s="82"/>
      <c r="CK20" s="82" t="str">
        <f>IF(OR(ISBLANK(AH20),ISBLANK(AJ20)),"N/A",IF(ABS((AJ20-AH20)/AH20)&gt;0.25,"&gt; 25%","ok"))</f>
        <v>N/A</v>
      </c>
      <c r="CL20" s="82"/>
      <c r="CM20" s="82" t="str">
        <f>IF(OR(ISBLANK(AJ20),ISBLANK(AL20)),"N/A",IF(ABS((AL20-AJ20)/AJ20)&gt;0.25,"&gt; 25%","ok"))</f>
        <v>N/A</v>
      </c>
      <c r="CN20" s="82"/>
      <c r="CO20" s="82" t="str">
        <f>IF(OR(ISBLANK(AL20),ISBLANK(AN20)),"N/A",IF(ABS((AN20-AL20)/AL20)&gt;0.25,"&gt; 25%","ok"))</f>
        <v>N/A</v>
      </c>
      <c r="CP20" s="82"/>
      <c r="CQ20" s="82" t="str">
        <f>IF(OR(ISBLANK(AN20),ISBLANK(AP20)),"N/A",IF(ABS((AP20-AN20)/AN20)&gt;0.25,"&gt; 25%","ok"))</f>
        <v>N/A</v>
      </c>
      <c r="CR20" s="82"/>
      <c r="CS20" s="82" t="str">
        <f>IF(OR(ISBLANK(AP20),ISBLANK(AR20)),"N/A",IF(ABS((AR20-AP20)/AP20)&gt;0.25,"&gt; 25%","ok"))</f>
        <v>N/A</v>
      </c>
      <c r="CT20" s="82"/>
      <c r="CU20" s="82" t="str">
        <f>IF(OR(ISBLANK(AR20),ISBLANK(AT20)),"N/A",IF(ABS((AT20-AR20)/AR20)&gt;0.25,"&gt; 25%","ok"))</f>
        <v>N/A</v>
      </c>
      <c r="CV20" s="82"/>
      <c r="CW20" s="82" t="str">
        <f>IF(OR(ISBLANK(AT20),ISBLANK(AV20)),"N/A",IF(ABS((AV20-AT20)/AT20)&gt;0.25,"&gt; 25%","ok"))</f>
        <v>N/A</v>
      </c>
      <c r="CX20" s="82"/>
      <c r="CY20" s="82" t="str">
        <f>IF(OR(ISBLANK(AV20),ISBLANK(AX20)),"N/A",IF(ABS((AX20-AV20)/AV20)&gt;0.25,"&gt; 25%","ok"))</f>
        <v>N/A</v>
      </c>
      <c r="CZ20" s="82"/>
      <c r="DA20" s="82" t="str">
        <f t="shared" si="1"/>
        <v>N/A</v>
      </c>
      <c r="DB20" s="82"/>
    </row>
    <row r="21" spans="1:106" s="212" customFormat="1" ht="14.25" customHeight="1">
      <c r="A21" s="209"/>
      <c r="B21" s="377">
        <v>267</v>
      </c>
      <c r="C21" s="257">
        <v>13</v>
      </c>
      <c r="D21" s="391" t="s">
        <v>312</v>
      </c>
      <c r="E21" s="260" t="s">
        <v>304</v>
      </c>
      <c r="F21" s="582"/>
      <c r="G21" s="596"/>
      <c r="H21" s="582"/>
      <c r="I21" s="596"/>
      <c r="J21" s="582"/>
      <c r="K21" s="596"/>
      <c r="L21" s="582"/>
      <c r="M21" s="596"/>
      <c r="N21" s="582"/>
      <c r="O21" s="596"/>
      <c r="P21" s="582"/>
      <c r="Q21" s="596"/>
      <c r="R21" s="582"/>
      <c r="S21" s="596"/>
      <c r="T21" s="582"/>
      <c r="U21" s="596"/>
      <c r="V21" s="582"/>
      <c r="W21" s="596"/>
      <c r="X21" s="582"/>
      <c r="Y21" s="596"/>
      <c r="Z21" s="582"/>
      <c r="AA21" s="596"/>
      <c r="AB21" s="582"/>
      <c r="AC21" s="596"/>
      <c r="AD21" s="582"/>
      <c r="AE21" s="596"/>
      <c r="AF21" s="582"/>
      <c r="AG21" s="596"/>
      <c r="AH21" s="582"/>
      <c r="AI21" s="596"/>
      <c r="AJ21" s="582"/>
      <c r="AK21" s="596"/>
      <c r="AL21" s="582"/>
      <c r="AM21" s="596"/>
      <c r="AN21" s="582"/>
      <c r="AO21" s="596"/>
      <c r="AP21" s="582"/>
      <c r="AQ21" s="596"/>
      <c r="AR21" s="582"/>
      <c r="AS21" s="596"/>
      <c r="AT21" s="582"/>
      <c r="AU21" s="596"/>
      <c r="AV21" s="582"/>
      <c r="AW21" s="596"/>
      <c r="AX21" s="582"/>
      <c r="AY21" s="596"/>
      <c r="AZ21" s="582"/>
      <c r="BA21" s="596"/>
      <c r="BC21" s="213"/>
      <c r="BD21" s="608">
        <v>13</v>
      </c>
      <c r="BE21" s="392" t="s">
        <v>5</v>
      </c>
      <c r="BF21" s="84" t="s">
        <v>444</v>
      </c>
      <c r="BG21" s="109" t="s">
        <v>448</v>
      </c>
      <c r="BH21" s="244"/>
      <c r="BI21" s="82" t="str">
        <f t="shared" si="2"/>
        <v>N/A</v>
      </c>
      <c r="BJ21" s="244"/>
      <c r="BK21" s="82" t="str">
        <f t="shared" si="17"/>
        <v>N/A</v>
      </c>
      <c r="BL21" s="82"/>
      <c r="BM21" s="82" t="str">
        <f t="shared" si="18"/>
        <v>N/A</v>
      </c>
      <c r="BN21" s="82"/>
      <c r="BO21" s="82" t="str">
        <f t="shared" si="19"/>
        <v>N/A</v>
      </c>
      <c r="BP21" s="82"/>
      <c r="BQ21" s="82" t="str">
        <f t="shared" si="20"/>
        <v>N/A</v>
      </c>
      <c r="BR21" s="82"/>
      <c r="BS21" s="82" t="str">
        <f t="shared" si="3"/>
        <v>N/A</v>
      </c>
      <c r="BT21" s="82"/>
      <c r="BU21" s="82" t="str">
        <f t="shared" si="4"/>
        <v>N/A</v>
      </c>
      <c r="BV21" s="82"/>
      <c r="BW21" s="82" t="str">
        <f t="shared" si="5"/>
        <v>N/A</v>
      </c>
      <c r="BX21" s="82"/>
      <c r="BY21" s="82" t="str">
        <f t="shared" si="6"/>
        <v>N/A</v>
      </c>
      <c r="BZ21" s="82"/>
      <c r="CA21" s="82" t="str">
        <f t="shared" si="7"/>
        <v>N/A</v>
      </c>
      <c r="CB21" s="82"/>
      <c r="CC21" s="82" t="str">
        <f t="shared" si="8"/>
        <v>N/A</v>
      </c>
      <c r="CD21" s="82"/>
      <c r="CE21" s="82" t="str">
        <f t="shared" si="9"/>
        <v>N/A</v>
      </c>
      <c r="CF21" s="82"/>
      <c r="CG21" s="82" t="str">
        <f t="shared" si="10"/>
        <v>N/A</v>
      </c>
      <c r="CH21" s="82"/>
      <c r="CI21" s="82" t="str">
        <f t="shared" si="11"/>
        <v>N/A</v>
      </c>
      <c r="CJ21" s="82"/>
      <c r="CK21" s="82" t="str">
        <f t="shared" si="12"/>
        <v>N/A</v>
      </c>
      <c r="CL21" s="82"/>
      <c r="CM21" s="82" t="str">
        <f t="shared" si="13"/>
        <v>N/A</v>
      </c>
      <c r="CN21" s="82"/>
      <c r="CO21" s="82" t="str">
        <f t="shared" si="14"/>
        <v>N/A</v>
      </c>
      <c r="CP21" s="82"/>
      <c r="CQ21" s="82" t="str">
        <f t="shared" si="0"/>
        <v>N/A</v>
      </c>
      <c r="CR21" s="82"/>
      <c r="CS21" s="82" t="str">
        <f t="shared" si="15"/>
        <v>N/A</v>
      </c>
      <c r="CT21" s="82"/>
      <c r="CU21" s="82" t="str">
        <f t="shared" si="16"/>
        <v>N/A</v>
      </c>
      <c r="CV21" s="82"/>
      <c r="CW21" s="82" t="str">
        <f t="shared" si="21"/>
        <v>N/A</v>
      </c>
      <c r="CX21" s="82"/>
      <c r="CY21" s="82" t="str">
        <f t="shared" si="22"/>
        <v>N/A</v>
      </c>
      <c r="CZ21" s="82"/>
      <c r="DA21" s="82" t="str">
        <f t="shared" si="1"/>
        <v>N/A</v>
      </c>
      <c r="DB21" s="82"/>
    </row>
    <row r="22" spans="1:106" s="212" customFormat="1" ht="14.25" customHeight="1">
      <c r="A22" s="209"/>
      <c r="B22" s="377">
        <v>69</v>
      </c>
      <c r="C22" s="257">
        <v>14</v>
      </c>
      <c r="D22" s="378" t="s">
        <v>247</v>
      </c>
      <c r="E22" s="260" t="s">
        <v>304</v>
      </c>
      <c r="F22" s="582"/>
      <c r="G22" s="596"/>
      <c r="H22" s="582"/>
      <c r="I22" s="596"/>
      <c r="J22" s="582"/>
      <c r="K22" s="596"/>
      <c r="L22" s="582"/>
      <c r="M22" s="596"/>
      <c r="N22" s="582"/>
      <c r="O22" s="596"/>
      <c r="P22" s="582"/>
      <c r="Q22" s="596"/>
      <c r="R22" s="582"/>
      <c r="S22" s="596"/>
      <c r="T22" s="582"/>
      <c r="U22" s="596"/>
      <c r="V22" s="582"/>
      <c r="W22" s="596"/>
      <c r="X22" s="582"/>
      <c r="Y22" s="596"/>
      <c r="Z22" s="582"/>
      <c r="AA22" s="596"/>
      <c r="AB22" s="582"/>
      <c r="AC22" s="596"/>
      <c r="AD22" s="582"/>
      <c r="AE22" s="596"/>
      <c r="AF22" s="582"/>
      <c r="AG22" s="596"/>
      <c r="AH22" s="582"/>
      <c r="AI22" s="596"/>
      <c r="AJ22" s="582"/>
      <c r="AK22" s="596"/>
      <c r="AL22" s="582"/>
      <c r="AM22" s="596"/>
      <c r="AN22" s="582"/>
      <c r="AO22" s="596"/>
      <c r="AP22" s="582"/>
      <c r="AQ22" s="596"/>
      <c r="AR22" s="582"/>
      <c r="AS22" s="596"/>
      <c r="AT22" s="582"/>
      <c r="AU22" s="596"/>
      <c r="AV22" s="582"/>
      <c r="AW22" s="596"/>
      <c r="AX22" s="582"/>
      <c r="AY22" s="596"/>
      <c r="AZ22" s="582"/>
      <c r="BA22" s="596"/>
      <c r="BC22" s="213"/>
      <c r="BD22" s="608">
        <v>14</v>
      </c>
      <c r="BE22" s="306" t="s">
        <v>544</v>
      </c>
      <c r="BF22" s="84" t="s">
        <v>444</v>
      </c>
      <c r="BG22" s="82" t="s">
        <v>448</v>
      </c>
      <c r="BH22" s="244"/>
      <c r="BI22" s="82" t="str">
        <f t="shared" si="2"/>
        <v>N/A</v>
      </c>
      <c r="BJ22" s="244"/>
      <c r="BK22" s="82" t="str">
        <f t="shared" si="17"/>
        <v>N/A</v>
      </c>
      <c r="BL22" s="82"/>
      <c r="BM22" s="82" t="str">
        <f t="shared" si="18"/>
        <v>N/A</v>
      </c>
      <c r="BN22" s="82"/>
      <c r="BO22" s="82" t="str">
        <f>IF(OR(ISBLANK(L22),ISBLANK(N22)),"N/A",IF(ABS((N22-L22)/L22)&gt;0.25,"&gt; 25%","ok"))</f>
        <v>N/A</v>
      </c>
      <c r="BP22" s="82"/>
      <c r="BQ22" s="82" t="str">
        <f t="shared" si="20"/>
        <v>N/A</v>
      </c>
      <c r="BR22" s="82"/>
      <c r="BS22" s="82" t="str">
        <f t="shared" si="3"/>
        <v>N/A</v>
      </c>
      <c r="BT22" s="82"/>
      <c r="BU22" s="82" t="str">
        <f t="shared" si="4"/>
        <v>N/A</v>
      </c>
      <c r="BV22" s="82"/>
      <c r="BW22" s="82" t="str">
        <f t="shared" si="5"/>
        <v>N/A</v>
      </c>
      <c r="BX22" s="82"/>
      <c r="BY22" s="82" t="str">
        <f t="shared" si="6"/>
        <v>N/A</v>
      </c>
      <c r="BZ22" s="82"/>
      <c r="CA22" s="82" t="str">
        <f t="shared" si="7"/>
        <v>N/A</v>
      </c>
      <c r="CB22" s="82"/>
      <c r="CC22" s="82" t="str">
        <f t="shared" si="8"/>
        <v>N/A</v>
      </c>
      <c r="CD22" s="82"/>
      <c r="CE22" s="82" t="str">
        <f t="shared" si="9"/>
        <v>N/A</v>
      </c>
      <c r="CF22" s="82"/>
      <c r="CG22" s="82" t="str">
        <f t="shared" si="10"/>
        <v>N/A</v>
      </c>
      <c r="CH22" s="82"/>
      <c r="CI22" s="82" t="str">
        <f t="shared" si="11"/>
        <v>N/A</v>
      </c>
      <c r="CJ22" s="82"/>
      <c r="CK22" s="82" t="str">
        <f t="shared" si="12"/>
        <v>N/A</v>
      </c>
      <c r="CL22" s="82"/>
      <c r="CM22" s="82" t="str">
        <f t="shared" si="13"/>
        <v>N/A</v>
      </c>
      <c r="CN22" s="82"/>
      <c r="CO22" s="82" t="str">
        <f t="shared" si="14"/>
        <v>N/A</v>
      </c>
      <c r="CP22" s="82"/>
      <c r="CQ22" s="82" t="str">
        <f t="shared" si="0"/>
        <v>N/A</v>
      </c>
      <c r="CR22" s="82"/>
      <c r="CS22" s="82" t="str">
        <f t="shared" si="15"/>
        <v>N/A</v>
      </c>
      <c r="CT22" s="82"/>
      <c r="CU22" s="82" t="str">
        <f t="shared" si="16"/>
        <v>N/A</v>
      </c>
      <c r="CV22" s="82"/>
      <c r="CW22" s="82" t="str">
        <f t="shared" si="21"/>
        <v>N/A</v>
      </c>
      <c r="CX22" s="82"/>
      <c r="CY22" s="82" t="str">
        <f t="shared" si="22"/>
        <v>N/A</v>
      </c>
      <c r="CZ22" s="82"/>
      <c r="DA22" s="82" t="str">
        <f t="shared" si="1"/>
        <v>N/A</v>
      </c>
      <c r="DB22" s="82"/>
    </row>
    <row r="23" spans="1:106" s="212" customFormat="1" ht="14.25" customHeight="1">
      <c r="A23" s="209"/>
      <c r="B23" s="377">
        <v>78</v>
      </c>
      <c r="C23" s="257">
        <v>15</v>
      </c>
      <c r="D23" s="378" t="s">
        <v>249</v>
      </c>
      <c r="E23" s="260" t="s">
        <v>304</v>
      </c>
      <c r="F23" s="582"/>
      <c r="G23" s="596"/>
      <c r="H23" s="582"/>
      <c r="I23" s="596"/>
      <c r="J23" s="582"/>
      <c r="K23" s="596"/>
      <c r="L23" s="582"/>
      <c r="M23" s="596"/>
      <c r="N23" s="582"/>
      <c r="O23" s="596"/>
      <c r="P23" s="582"/>
      <c r="Q23" s="596"/>
      <c r="R23" s="582"/>
      <c r="S23" s="596"/>
      <c r="T23" s="582"/>
      <c r="U23" s="596"/>
      <c r="V23" s="582"/>
      <c r="W23" s="596"/>
      <c r="X23" s="582"/>
      <c r="Y23" s="596"/>
      <c r="Z23" s="582"/>
      <c r="AA23" s="596"/>
      <c r="AB23" s="582"/>
      <c r="AC23" s="596"/>
      <c r="AD23" s="582"/>
      <c r="AE23" s="596"/>
      <c r="AF23" s="582"/>
      <c r="AG23" s="596"/>
      <c r="AH23" s="582"/>
      <c r="AI23" s="596"/>
      <c r="AJ23" s="582"/>
      <c r="AK23" s="596"/>
      <c r="AL23" s="582"/>
      <c r="AM23" s="596"/>
      <c r="AN23" s="582"/>
      <c r="AO23" s="596"/>
      <c r="AP23" s="582"/>
      <c r="AQ23" s="596"/>
      <c r="AR23" s="582"/>
      <c r="AS23" s="596"/>
      <c r="AT23" s="582"/>
      <c r="AU23" s="596"/>
      <c r="AV23" s="582"/>
      <c r="AW23" s="596"/>
      <c r="AX23" s="582"/>
      <c r="AY23" s="596"/>
      <c r="AZ23" s="582"/>
      <c r="BA23" s="596"/>
      <c r="BC23" s="213"/>
      <c r="BD23" s="608">
        <v>15</v>
      </c>
      <c r="BE23" s="306" t="s">
        <v>387</v>
      </c>
      <c r="BF23" s="84" t="s">
        <v>444</v>
      </c>
      <c r="BG23" s="82" t="s">
        <v>448</v>
      </c>
      <c r="BH23" s="244"/>
      <c r="BI23" s="82" t="str">
        <f t="shared" si="2"/>
        <v>N/A</v>
      </c>
      <c r="BJ23" s="244"/>
      <c r="BK23" s="82" t="str">
        <f t="shared" si="17"/>
        <v>N/A</v>
      </c>
      <c r="BL23" s="82"/>
      <c r="BM23" s="82" t="str">
        <f t="shared" si="18"/>
        <v>N/A</v>
      </c>
      <c r="BN23" s="82"/>
      <c r="BO23" s="82" t="str">
        <f t="shared" si="19"/>
        <v>N/A</v>
      </c>
      <c r="BP23" s="82"/>
      <c r="BQ23" s="82" t="str">
        <f t="shared" si="20"/>
        <v>N/A</v>
      </c>
      <c r="BR23" s="82"/>
      <c r="BS23" s="82" t="str">
        <f t="shared" si="3"/>
        <v>N/A</v>
      </c>
      <c r="BT23" s="82"/>
      <c r="BU23" s="82" t="str">
        <f t="shared" si="4"/>
        <v>N/A</v>
      </c>
      <c r="BV23" s="82"/>
      <c r="BW23" s="82" t="str">
        <f t="shared" si="5"/>
        <v>N/A</v>
      </c>
      <c r="BX23" s="82"/>
      <c r="BY23" s="82" t="str">
        <f t="shared" si="6"/>
        <v>N/A</v>
      </c>
      <c r="BZ23" s="82"/>
      <c r="CA23" s="82" t="str">
        <f t="shared" si="7"/>
        <v>N/A</v>
      </c>
      <c r="CB23" s="82"/>
      <c r="CC23" s="82" t="str">
        <f t="shared" si="8"/>
        <v>N/A</v>
      </c>
      <c r="CD23" s="82"/>
      <c r="CE23" s="82" t="str">
        <f t="shared" si="9"/>
        <v>N/A</v>
      </c>
      <c r="CF23" s="82"/>
      <c r="CG23" s="82" t="str">
        <f t="shared" si="10"/>
        <v>N/A</v>
      </c>
      <c r="CH23" s="82"/>
      <c r="CI23" s="82" t="str">
        <f t="shared" si="11"/>
        <v>N/A</v>
      </c>
      <c r="CJ23" s="82"/>
      <c r="CK23" s="82" t="str">
        <f t="shared" si="12"/>
        <v>N/A</v>
      </c>
      <c r="CL23" s="82"/>
      <c r="CM23" s="82" t="str">
        <f t="shared" si="13"/>
        <v>N/A</v>
      </c>
      <c r="CN23" s="82"/>
      <c r="CO23" s="82" t="str">
        <f t="shared" si="14"/>
        <v>N/A</v>
      </c>
      <c r="CP23" s="82"/>
      <c r="CQ23" s="82" t="str">
        <f t="shared" si="0"/>
        <v>N/A</v>
      </c>
      <c r="CR23" s="82"/>
      <c r="CS23" s="82" t="str">
        <f t="shared" si="15"/>
        <v>N/A</v>
      </c>
      <c r="CT23" s="82"/>
      <c r="CU23" s="82" t="str">
        <f t="shared" si="16"/>
        <v>N/A</v>
      </c>
      <c r="CV23" s="82"/>
      <c r="CW23" s="82" t="str">
        <f t="shared" si="21"/>
        <v>N/A</v>
      </c>
      <c r="CX23" s="82"/>
      <c r="CY23" s="82" t="str">
        <f t="shared" si="22"/>
        <v>N/A</v>
      </c>
      <c r="CZ23" s="82"/>
      <c r="DA23" s="82" t="str">
        <f t="shared" si="1"/>
        <v>N/A</v>
      </c>
      <c r="DB23" s="82"/>
    </row>
    <row r="24" spans="1:106" s="212" customFormat="1" ht="14.25" customHeight="1">
      <c r="A24" s="209"/>
      <c r="B24" s="377">
        <v>2434</v>
      </c>
      <c r="C24" s="257">
        <v>16</v>
      </c>
      <c r="D24" s="378" t="s">
        <v>480</v>
      </c>
      <c r="E24" s="260" t="s">
        <v>304</v>
      </c>
      <c r="F24" s="582"/>
      <c r="G24" s="596"/>
      <c r="H24" s="582"/>
      <c r="I24" s="596"/>
      <c r="J24" s="582"/>
      <c r="K24" s="596"/>
      <c r="L24" s="582"/>
      <c r="M24" s="596"/>
      <c r="N24" s="582"/>
      <c r="O24" s="596"/>
      <c r="P24" s="582"/>
      <c r="Q24" s="596"/>
      <c r="R24" s="582"/>
      <c r="S24" s="596"/>
      <c r="T24" s="582"/>
      <c r="U24" s="596"/>
      <c r="V24" s="582"/>
      <c r="W24" s="596"/>
      <c r="X24" s="582"/>
      <c r="Y24" s="596"/>
      <c r="Z24" s="582"/>
      <c r="AA24" s="596"/>
      <c r="AB24" s="582"/>
      <c r="AC24" s="596"/>
      <c r="AD24" s="582"/>
      <c r="AE24" s="596"/>
      <c r="AF24" s="582"/>
      <c r="AG24" s="596"/>
      <c r="AH24" s="582"/>
      <c r="AI24" s="596"/>
      <c r="AJ24" s="582"/>
      <c r="AK24" s="596"/>
      <c r="AL24" s="582"/>
      <c r="AM24" s="596"/>
      <c r="AN24" s="582"/>
      <c r="AO24" s="596"/>
      <c r="AP24" s="582"/>
      <c r="AQ24" s="596"/>
      <c r="AR24" s="582"/>
      <c r="AS24" s="596"/>
      <c r="AT24" s="582"/>
      <c r="AU24" s="596"/>
      <c r="AV24" s="582"/>
      <c r="AW24" s="596"/>
      <c r="AX24" s="582"/>
      <c r="AY24" s="596"/>
      <c r="AZ24" s="582"/>
      <c r="BA24" s="596"/>
      <c r="BC24" s="213"/>
      <c r="BD24" s="608">
        <v>16</v>
      </c>
      <c r="BE24" s="306" t="s">
        <v>386</v>
      </c>
      <c r="BF24" s="84" t="s">
        <v>444</v>
      </c>
      <c r="BG24" s="82" t="s">
        <v>448</v>
      </c>
      <c r="BH24" s="244"/>
      <c r="BI24" s="82" t="str">
        <f t="shared" si="2"/>
        <v>N/A</v>
      </c>
      <c r="BJ24" s="244"/>
      <c r="BK24" s="82" t="str">
        <f t="shared" si="17"/>
        <v>N/A</v>
      </c>
      <c r="BL24" s="82"/>
      <c r="BM24" s="82" t="str">
        <f>IF(OR(ISBLANK(J24),ISBLANK(L24)),"N/A",IF(ABS((L24-J24)/J24)&gt;0.25,"&gt; 25%","ok"))</f>
        <v>N/A</v>
      </c>
      <c r="BN24" s="82"/>
      <c r="BO24" s="82" t="str">
        <f t="shared" si="19"/>
        <v>N/A</v>
      </c>
      <c r="BP24" s="82"/>
      <c r="BQ24" s="82" t="str">
        <f t="shared" si="20"/>
        <v>N/A</v>
      </c>
      <c r="BR24" s="82"/>
      <c r="BS24" s="82" t="str">
        <f t="shared" si="3"/>
        <v>N/A</v>
      </c>
      <c r="BT24" s="82"/>
      <c r="BU24" s="82" t="str">
        <f t="shared" si="4"/>
        <v>N/A</v>
      </c>
      <c r="BV24" s="82"/>
      <c r="BW24" s="82" t="str">
        <f t="shared" si="5"/>
        <v>N/A</v>
      </c>
      <c r="BX24" s="82"/>
      <c r="BY24" s="82" t="str">
        <f t="shared" si="6"/>
        <v>N/A</v>
      </c>
      <c r="BZ24" s="82"/>
      <c r="CA24" s="82" t="str">
        <f t="shared" si="7"/>
        <v>N/A</v>
      </c>
      <c r="CB24" s="82"/>
      <c r="CC24" s="82" t="str">
        <f t="shared" si="8"/>
        <v>N/A</v>
      </c>
      <c r="CD24" s="82"/>
      <c r="CE24" s="82" t="str">
        <f t="shared" si="9"/>
        <v>N/A</v>
      </c>
      <c r="CF24" s="82"/>
      <c r="CG24" s="82" t="str">
        <f t="shared" si="10"/>
        <v>N/A</v>
      </c>
      <c r="CH24" s="82"/>
      <c r="CI24" s="82" t="str">
        <f t="shared" si="11"/>
        <v>N/A</v>
      </c>
      <c r="CJ24" s="82"/>
      <c r="CK24" s="82" t="str">
        <f t="shared" si="12"/>
        <v>N/A</v>
      </c>
      <c r="CL24" s="82"/>
      <c r="CM24" s="82" t="str">
        <f t="shared" si="13"/>
        <v>N/A</v>
      </c>
      <c r="CN24" s="82"/>
      <c r="CO24" s="82" t="str">
        <f t="shared" si="14"/>
        <v>N/A</v>
      </c>
      <c r="CP24" s="82"/>
      <c r="CQ24" s="82" t="str">
        <f t="shared" si="0"/>
        <v>N/A</v>
      </c>
      <c r="CR24" s="82"/>
      <c r="CS24" s="82" t="str">
        <f t="shared" si="15"/>
        <v>N/A</v>
      </c>
      <c r="CT24" s="82"/>
      <c r="CU24" s="82" t="str">
        <f t="shared" si="16"/>
        <v>N/A</v>
      </c>
      <c r="CV24" s="82"/>
      <c r="CW24" s="82" t="str">
        <f t="shared" si="21"/>
        <v>N/A</v>
      </c>
      <c r="CX24" s="82"/>
      <c r="CY24" s="82" t="str">
        <f t="shared" si="22"/>
        <v>N/A</v>
      </c>
      <c r="CZ24" s="82"/>
      <c r="DA24" s="82" t="str">
        <f t="shared" si="1"/>
        <v>N/A</v>
      </c>
      <c r="DB24" s="82"/>
    </row>
    <row r="25" spans="1:106" s="212" customFormat="1" ht="14.25" customHeight="1">
      <c r="A25" s="209"/>
      <c r="B25" s="377">
        <v>2435</v>
      </c>
      <c r="C25" s="257">
        <v>17</v>
      </c>
      <c r="D25" s="378" t="s">
        <v>252</v>
      </c>
      <c r="E25" s="260" t="s">
        <v>304</v>
      </c>
      <c r="F25" s="582"/>
      <c r="G25" s="596"/>
      <c r="H25" s="582"/>
      <c r="I25" s="596"/>
      <c r="J25" s="582"/>
      <c r="K25" s="596"/>
      <c r="L25" s="582"/>
      <c r="M25" s="596"/>
      <c r="N25" s="582"/>
      <c r="O25" s="596"/>
      <c r="P25" s="582"/>
      <c r="Q25" s="596"/>
      <c r="R25" s="582"/>
      <c r="S25" s="596"/>
      <c r="T25" s="582"/>
      <c r="U25" s="596"/>
      <c r="V25" s="582"/>
      <c r="W25" s="596"/>
      <c r="X25" s="582"/>
      <c r="Y25" s="596"/>
      <c r="Z25" s="582"/>
      <c r="AA25" s="596"/>
      <c r="AB25" s="582"/>
      <c r="AC25" s="596"/>
      <c r="AD25" s="582"/>
      <c r="AE25" s="596"/>
      <c r="AF25" s="582"/>
      <c r="AG25" s="596"/>
      <c r="AH25" s="582"/>
      <c r="AI25" s="596"/>
      <c r="AJ25" s="582"/>
      <c r="AK25" s="596"/>
      <c r="AL25" s="582"/>
      <c r="AM25" s="596"/>
      <c r="AN25" s="582"/>
      <c r="AO25" s="596"/>
      <c r="AP25" s="582"/>
      <c r="AQ25" s="596"/>
      <c r="AR25" s="582"/>
      <c r="AS25" s="596"/>
      <c r="AT25" s="582"/>
      <c r="AU25" s="596"/>
      <c r="AV25" s="582"/>
      <c r="AW25" s="596"/>
      <c r="AX25" s="582"/>
      <c r="AY25" s="596"/>
      <c r="AZ25" s="582"/>
      <c r="BA25" s="596"/>
      <c r="BC25" s="213"/>
      <c r="BD25" s="608">
        <v>17</v>
      </c>
      <c r="BE25" s="306" t="s">
        <v>450</v>
      </c>
      <c r="BF25" s="84" t="s">
        <v>444</v>
      </c>
      <c r="BG25" s="82" t="s">
        <v>448</v>
      </c>
      <c r="BH25" s="244"/>
      <c r="BI25" s="82" t="str">
        <f t="shared" si="2"/>
        <v>N/A</v>
      </c>
      <c r="BJ25" s="244"/>
      <c r="BK25" s="82" t="str">
        <f t="shared" si="17"/>
        <v>N/A</v>
      </c>
      <c r="BL25" s="82"/>
      <c r="BM25" s="82" t="str">
        <f t="shared" si="18"/>
        <v>N/A</v>
      </c>
      <c r="BN25" s="82"/>
      <c r="BO25" s="82" t="str">
        <f t="shared" si="19"/>
        <v>N/A</v>
      </c>
      <c r="BP25" s="82"/>
      <c r="BQ25" s="82" t="str">
        <f t="shared" si="20"/>
        <v>N/A</v>
      </c>
      <c r="BR25" s="82"/>
      <c r="BS25" s="82" t="str">
        <f t="shared" si="3"/>
        <v>N/A</v>
      </c>
      <c r="BT25" s="82"/>
      <c r="BU25" s="82" t="str">
        <f t="shared" si="4"/>
        <v>N/A</v>
      </c>
      <c r="BV25" s="82"/>
      <c r="BW25" s="82" t="str">
        <f t="shared" si="5"/>
        <v>N/A</v>
      </c>
      <c r="BX25" s="82"/>
      <c r="BY25" s="82" t="str">
        <f t="shared" si="6"/>
        <v>N/A</v>
      </c>
      <c r="BZ25" s="82"/>
      <c r="CA25" s="82" t="str">
        <f t="shared" si="7"/>
        <v>N/A</v>
      </c>
      <c r="CB25" s="82"/>
      <c r="CC25" s="82" t="str">
        <f t="shared" si="8"/>
        <v>N/A</v>
      </c>
      <c r="CD25" s="82"/>
      <c r="CE25" s="82" t="str">
        <f t="shared" si="9"/>
        <v>N/A</v>
      </c>
      <c r="CF25" s="82"/>
      <c r="CG25" s="82" t="str">
        <f t="shared" si="10"/>
        <v>N/A</v>
      </c>
      <c r="CH25" s="82"/>
      <c r="CI25" s="82" t="str">
        <f t="shared" si="11"/>
        <v>N/A</v>
      </c>
      <c r="CJ25" s="82"/>
      <c r="CK25" s="82" t="str">
        <f t="shared" si="12"/>
        <v>N/A</v>
      </c>
      <c r="CL25" s="82"/>
      <c r="CM25" s="82" t="str">
        <f t="shared" si="13"/>
        <v>N/A</v>
      </c>
      <c r="CN25" s="82"/>
      <c r="CO25" s="82" t="str">
        <f t="shared" si="14"/>
        <v>N/A</v>
      </c>
      <c r="CP25" s="82"/>
      <c r="CQ25" s="82" t="str">
        <f t="shared" si="0"/>
        <v>N/A</v>
      </c>
      <c r="CR25" s="82"/>
      <c r="CS25" s="82" t="str">
        <f t="shared" si="15"/>
        <v>N/A</v>
      </c>
      <c r="CT25" s="82"/>
      <c r="CU25" s="82" t="str">
        <f t="shared" si="16"/>
        <v>N/A</v>
      </c>
      <c r="CV25" s="82"/>
      <c r="CW25" s="82" t="str">
        <f t="shared" si="21"/>
        <v>N/A</v>
      </c>
      <c r="CX25" s="82"/>
      <c r="CY25" s="82" t="str">
        <f t="shared" si="22"/>
        <v>N/A</v>
      </c>
      <c r="CZ25" s="82"/>
      <c r="DA25" s="82" t="str">
        <f t="shared" si="1"/>
        <v>N/A</v>
      </c>
      <c r="DB25" s="82"/>
    </row>
    <row r="26" spans="1:106" s="397" customFormat="1" ht="25.5" customHeight="1">
      <c r="A26" s="395" t="s">
        <v>439</v>
      </c>
      <c r="B26" s="382">
        <v>79</v>
      </c>
      <c r="C26" s="396">
        <v>18</v>
      </c>
      <c r="D26" s="383" t="s">
        <v>685</v>
      </c>
      <c r="E26" s="260" t="s">
        <v>304</v>
      </c>
      <c r="F26" s="582"/>
      <c r="G26" s="596"/>
      <c r="H26" s="582"/>
      <c r="I26" s="596"/>
      <c r="J26" s="582"/>
      <c r="K26" s="596"/>
      <c r="L26" s="582"/>
      <c r="M26" s="596"/>
      <c r="N26" s="582"/>
      <c r="O26" s="596"/>
      <c r="P26" s="582"/>
      <c r="Q26" s="596"/>
      <c r="R26" s="582"/>
      <c r="S26" s="596"/>
      <c r="T26" s="582"/>
      <c r="U26" s="596"/>
      <c r="V26" s="582"/>
      <c r="W26" s="596"/>
      <c r="X26" s="582"/>
      <c r="Y26" s="596"/>
      <c r="Z26" s="582"/>
      <c r="AA26" s="596"/>
      <c r="AB26" s="582"/>
      <c r="AC26" s="596"/>
      <c r="AD26" s="582"/>
      <c r="AE26" s="596"/>
      <c r="AF26" s="582"/>
      <c r="AG26" s="596"/>
      <c r="AH26" s="582"/>
      <c r="AI26" s="596"/>
      <c r="AJ26" s="582"/>
      <c r="AK26" s="596"/>
      <c r="AL26" s="582"/>
      <c r="AM26" s="596"/>
      <c r="AN26" s="582"/>
      <c r="AO26" s="596"/>
      <c r="AP26" s="582"/>
      <c r="AQ26" s="596"/>
      <c r="AR26" s="582"/>
      <c r="AS26" s="596"/>
      <c r="AT26" s="582"/>
      <c r="AU26" s="596"/>
      <c r="AV26" s="582"/>
      <c r="AW26" s="596"/>
      <c r="AX26" s="582"/>
      <c r="AY26" s="596"/>
      <c r="AZ26" s="582"/>
      <c r="BA26" s="596"/>
      <c r="BC26" s="398"/>
      <c r="BD26" s="658">
        <v>18</v>
      </c>
      <c r="BE26" s="387" t="s">
        <v>650</v>
      </c>
      <c r="BF26" s="84" t="s">
        <v>444</v>
      </c>
      <c r="BG26" s="82" t="s">
        <v>448</v>
      </c>
      <c r="BH26" s="388"/>
      <c r="BI26" s="82" t="str">
        <f t="shared" si="2"/>
        <v>N/A</v>
      </c>
      <c r="BJ26" s="388"/>
      <c r="BK26" s="82" t="str">
        <f t="shared" si="17"/>
        <v>N/A</v>
      </c>
      <c r="BL26" s="109"/>
      <c r="BM26" s="82" t="str">
        <f t="shared" si="18"/>
        <v>N/A</v>
      </c>
      <c r="BN26" s="109"/>
      <c r="BO26" s="82" t="str">
        <f t="shared" si="19"/>
        <v>N/A</v>
      </c>
      <c r="BP26" s="109"/>
      <c r="BQ26" s="82" t="str">
        <f t="shared" si="20"/>
        <v>N/A</v>
      </c>
      <c r="BR26" s="109"/>
      <c r="BS26" s="82" t="str">
        <f t="shared" si="3"/>
        <v>N/A</v>
      </c>
      <c r="BT26" s="109"/>
      <c r="BU26" s="82" t="str">
        <f t="shared" si="4"/>
        <v>N/A</v>
      </c>
      <c r="BV26" s="109"/>
      <c r="BW26" s="82" t="str">
        <f t="shared" si="5"/>
        <v>N/A</v>
      </c>
      <c r="BX26" s="109"/>
      <c r="BY26" s="82" t="str">
        <f t="shared" si="6"/>
        <v>N/A</v>
      </c>
      <c r="BZ26" s="109"/>
      <c r="CA26" s="82" t="str">
        <f t="shared" si="7"/>
        <v>N/A</v>
      </c>
      <c r="CB26" s="109"/>
      <c r="CC26" s="82" t="str">
        <f t="shared" si="8"/>
        <v>N/A</v>
      </c>
      <c r="CD26" s="109"/>
      <c r="CE26" s="82" t="str">
        <f t="shared" si="9"/>
        <v>N/A</v>
      </c>
      <c r="CF26" s="109"/>
      <c r="CG26" s="82" t="str">
        <f t="shared" si="10"/>
        <v>N/A</v>
      </c>
      <c r="CH26" s="109"/>
      <c r="CI26" s="82" t="str">
        <f t="shared" si="11"/>
        <v>N/A</v>
      </c>
      <c r="CJ26" s="109"/>
      <c r="CK26" s="82" t="str">
        <f t="shared" si="12"/>
        <v>N/A</v>
      </c>
      <c r="CL26" s="109"/>
      <c r="CM26" s="82" t="str">
        <f t="shared" si="13"/>
        <v>N/A</v>
      </c>
      <c r="CN26" s="109"/>
      <c r="CO26" s="82" t="str">
        <f t="shared" si="14"/>
        <v>N/A</v>
      </c>
      <c r="CP26" s="109"/>
      <c r="CQ26" s="82" t="str">
        <f t="shared" si="0"/>
        <v>N/A</v>
      </c>
      <c r="CR26" s="109"/>
      <c r="CS26" s="82" t="str">
        <f t="shared" si="15"/>
        <v>N/A</v>
      </c>
      <c r="CT26" s="109"/>
      <c r="CU26" s="82" t="str">
        <f t="shared" si="16"/>
        <v>N/A</v>
      </c>
      <c r="CV26" s="109"/>
      <c r="CW26" s="82" t="str">
        <f t="shared" si="21"/>
        <v>N/A</v>
      </c>
      <c r="CX26" s="109"/>
      <c r="CY26" s="82" t="str">
        <f t="shared" si="22"/>
        <v>N/A</v>
      </c>
      <c r="CZ26" s="109"/>
      <c r="DA26" s="82" t="str">
        <f t="shared" si="1"/>
        <v>N/A</v>
      </c>
      <c r="DB26" s="109"/>
    </row>
    <row r="27" spans="1:106" s="397" customFormat="1" ht="14.25" customHeight="1">
      <c r="A27" s="399"/>
      <c r="B27" s="382">
        <v>34</v>
      </c>
      <c r="C27" s="396">
        <v>19</v>
      </c>
      <c r="D27" s="383" t="s">
        <v>256</v>
      </c>
      <c r="E27" s="260" t="s">
        <v>304</v>
      </c>
      <c r="F27" s="582"/>
      <c r="G27" s="596"/>
      <c r="H27" s="582"/>
      <c r="I27" s="596"/>
      <c r="J27" s="582"/>
      <c r="K27" s="596"/>
      <c r="L27" s="582"/>
      <c r="M27" s="596"/>
      <c r="N27" s="582"/>
      <c r="O27" s="596"/>
      <c r="P27" s="582"/>
      <c r="Q27" s="596"/>
      <c r="R27" s="582"/>
      <c r="S27" s="596"/>
      <c r="T27" s="582"/>
      <c r="U27" s="596"/>
      <c r="V27" s="582"/>
      <c r="W27" s="596"/>
      <c r="X27" s="582"/>
      <c r="Y27" s="596"/>
      <c r="Z27" s="582"/>
      <c r="AA27" s="596"/>
      <c r="AB27" s="582"/>
      <c r="AC27" s="596"/>
      <c r="AD27" s="582"/>
      <c r="AE27" s="596"/>
      <c r="AF27" s="582"/>
      <c r="AG27" s="596"/>
      <c r="AH27" s="582"/>
      <c r="AI27" s="596"/>
      <c r="AJ27" s="582"/>
      <c r="AK27" s="596"/>
      <c r="AL27" s="582"/>
      <c r="AM27" s="596"/>
      <c r="AN27" s="582"/>
      <c r="AO27" s="596"/>
      <c r="AP27" s="582"/>
      <c r="AQ27" s="596"/>
      <c r="AR27" s="582"/>
      <c r="AS27" s="596"/>
      <c r="AT27" s="582"/>
      <c r="AU27" s="596"/>
      <c r="AV27" s="582"/>
      <c r="AW27" s="596"/>
      <c r="AX27" s="582"/>
      <c r="AY27" s="596"/>
      <c r="AZ27" s="582"/>
      <c r="BA27" s="596"/>
      <c r="BC27" s="398"/>
      <c r="BD27" s="658">
        <v>19</v>
      </c>
      <c r="BE27" s="387" t="s">
        <v>396</v>
      </c>
      <c r="BF27" s="84" t="s">
        <v>444</v>
      </c>
      <c r="BG27" s="82" t="s">
        <v>448</v>
      </c>
      <c r="BH27" s="388"/>
      <c r="BI27" s="82" t="str">
        <f t="shared" si="2"/>
        <v>N/A</v>
      </c>
      <c r="BJ27" s="388"/>
      <c r="BK27" s="82" t="str">
        <f t="shared" si="17"/>
        <v>N/A</v>
      </c>
      <c r="BL27" s="109"/>
      <c r="BM27" s="82" t="str">
        <f t="shared" si="18"/>
        <v>N/A</v>
      </c>
      <c r="BN27" s="109"/>
      <c r="BO27" s="82" t="str">
        <f t="shared" si="19"/>
        <v>N/A</v>
      </c>
      <c r="BP27" s="109"/>
      <c r="BQ27" s="82" t="str">
        <f t="shared" si="20"/>
        <v>N/A</v>
      </c>
      <c r="BR27" s="109"/>
      <c r="BS27" s="82" t="str">
        <f t="shared" si="3"/>
        <v>N/A</v>
      </c>
      <c r="BT27" s="109"/>
      <c r="BU27" s="82" t="str">
        <f t="shared" si="4"/>
        <v>N/A</v>
      </c>
      <c r="BV27" s="109"/>
      <c r="BW27" s="82" t="str">
        <f t="shared" si="5"/>
        <v>N/A</v>
      </c>
      <c r="BX27" s="109"/>
      <c r="BY27" s="82" t="str">
        <f t="shared" si="6"/>
        <v>N/A</v>
      </c>
      <c r="BZ27" s="109"/>
      <c r="CA27" s="82" t="str">
        <f t="shared" si="7"/>
        <v>N/A</v>
      </c>
      <c r="CB27" s="109"/>
      <c r="CC27" s="82" t="str">
        <f t="shared" si="8"/>
        <v>N/A</v>
      </c>
      <c r="CD27" s="109"/>
      <c r="CE27" s="82" t="str">
        <f t="shared" si="9"/>
        <v>N/A</v>
      </c>
      <c r="CF27" s="109"/>
      <c r="CG27" s="82" t="str">
        <f t="shared" si="10"/>
        <v>N/A</v>
      </c>
      <c r="CH27" s="109"/>
      <c r="CI27" s="82" t="str">
        <f t="shared" si="11"/>
        <v>N/A</v>
      </c>
      <c r="CJ27" s="109"/>
      <c r="CK27" s="82" t="str">
        <f t="shared" si="12"/>
        <v>N/A</v>
      </c>
      <c r="CL27" s="109"/>
      <c r="CM27" s="82" t="str">
        <f t="shared" si="13"/>
        <v>N/A</v>
      </c>
      <c r="CN27" s="109"/>
      <c r="CO27" s="82" t="str">
        <f t="shared" si="14"/>
        <v>N/A</v>
      </c>
      <c r="CP27" s="109"/>
      <c r="CQ27" s="82" t="str">
        <f t="shared" si="0"/>
        <v>N/A</v>
      </c>
      <c r="CR27" s="109"/>
      <c r="CS27" s="82" t="str">
        <f t="shared" si="15"/>
        <v>N/A</v>
      </c>
      <c r="CT27" s="109"/>
      <c r="CU27" s="82" t="str">
        <f t="shared" si="16"/>
        <v>N/A</v>
      </c>
      <c r="CV27" s="109"/>
      <c r="CW27" s="82" t="str">
        <f t="shared" si="21"/>
        <v>N/A</v>
      </c>
      <c r="CX27" s="109"/>
      <c r="CY27" s="82" t="str">
        <f t="shared" si="22"/>
        <v>N/A</v>
      </c>
      <c r="CZ27" s="109"/>
      <c r="DA27" s="82" t="str">
        <f t="shared" si="1"/>
        <v>N/A</v>
      </c>
      <c r="DB27" s="109"/>
    </row>
    <row r="28" spans="1:106" s="397" customFormat="1" ht="15" customHeight="1">
      <c r="A28" s="399" t="s">
        <v>439</v>
      </c>
      <c r="B28" s="382">
        <v>35</v>
      </c>
      <c r="C28" s="396">
        <v>20</v>
      </c>
      <c r="D28" s="383" t="s">
        <v>686</v>
      </c>
      <c r="E28" s="260" t="s">
        <v>304</v>
      </c>
      <c r="F28" s="582"/>
      <c r="G28" s="596"/>
      <c r="H28" s="582"/>
      <c r="I28" s="596"/>
      <c r="J28" s="582"/>
      <c r="K28" s="596"/>
      <c r="L28" s="582"/>
      <c r="M28" s="596"/>
      <c r="N28" s="582"/>
      <c r="O28" s="596"/>
      <c r="P28" s="582"/>
      <c r="Q28" s="596"/>
      <c r="R28" s="582"/>
      <c r="S28" s="596"/>
      <c r="T28" s="582"/>
      <c r="U28" s="596"/>
      <c r="V28" s="582"/>
      <c r="W28" s="596"/>
      <c r="X28" s="582"/>
      <c r="Y28" s="596"/>
      <c r="Z28" s="582"/>
      <c r="AA28" s="596"/>
      <c r="AB28" s="582"/>
      <c r="AC28" s="596"/>
      <c r="AD28" s="582"/>
      <c r="AE28" s="596"/>
      <c r="AF28" s="582"/>
      <c r="AG28" s="596"/>
      <c r="AH28" s="582"/>
      <c r="AI28" s="596"/>
      <c r="AJ28" s="582"/>
      <c r="AK28" s="596"/>
      <c r="AL28" s="582"/>
      <c r="AM28" s="596"/>
      <c r="AN28" s="582"/>
      <c r="AO28" s="596"/>
      <c r="AP28" s="582"/>
      <c r="AQ28" s="596"/>
      <c r="AR28" s="582"/>
      <c r="AS28" s="596"/>
      <c r="AT28" s="582"/>
      <c r="AU28" s="596"/>
      <c r="AV28" s="582"/>
      <c r="AW28" s="596"/>
      <c r="AX28" s="582"/>
      <c r="AY28" s="596"/>
      <c r="AZ28" s="582"/>
      <c r="BA28" s="596"/>
      <c r="BC28" s="398"/>
      <c r="BD28" s="658">
        <v>20</v>
      </c>
      <c r="BE28" s="387" t="s">
        <v>651</v>
      </c>
      <c r="BF28" s="84" t="s">
        <v>444</v>
      </c>
      <c r="BG28" s="109" t="s">
        <v>448</v>
      </c>
      <c r="BH28" s="388"/>
      <c r="BI28" s="82" t="str">
        <f t="shared" si="2"/>
        <v>N/A</v>
      </c>
      <c r="BJ28" s="388"/>
      <c r="BK28" s="82" t="str">
        <f t="shared" si="17"/>
        <v>N/A</v>
      </c>
      <c r="BL28" s="109"/>
      <c r="BM28" s="82" t="str">
        <f t="shared" si="18"/>
        <v>N/A</v>
      </c>
      <c r="BN28" s="109"/>
      <c r="BO28" s="82" t="str">
        <f t="shared" si="19"/>
        <v>N/A</v>
      </c>
      <c r="BP28" s="109"/>
      <c r="BQ28" s="82" t="str">
        <f t="shared" si="20"/>
        <v>N/A</v>
      </c>
      <c r="BR28" s="109"/>
      <c r="BS28" s="82" t="str">
        <f t="shared" si="3"/>
        <v>N/A</v>
      </c>
      <c r="BT28" s="109"/>
      <c r="BU28" s="82" t="str">
        <f t="shared" si="4"/>
        <v>N/A</v>
      </c>
      <c r="BV28" s="109"/>
      <c r="BW28" s="82" t="str">
        <f t="shared" si="5"/>
        <v>N/A</v>
      </c>
      <c r="BX28" s="109"/>
      <c r="BY28" s="82" t="str">
        <f t="shared" si="6"/>
        <v>N/A</v>
      </c>
      <c r="BZ28" s="109"/>
      <c r="CA28" s="82" t="str">
        <f t="shared" si="7"/>
        <v>N/A</v>
      </c>
      <c r="CB28" s="109"/>
      <c r="CC28" s="82" t="str">
        <f t="shared" si="8"/>
        <v>N/A</v>
      </c>
      <c r="CD28" s="109"/>
      <c r="CE28" s="82" t="str">
        <f t="shared" si="9"/>
        <v>N/A</v>
      </c>
      <c r="CF28" s="109"/>
      <c r="CG28" s="82" t="str">
        <f t="shared" si="10"/>
        <v>N/A</v>
      </c>
      <c r="CH28" s="109"/>
      <c r="CI28" s="82" t="str">
        <f t="shared" si="11"/>
        <v>N/A</v>
      </c>
      <c r="CJ28" s="109"/>
      <c r="CK28" s="82" t="str">
        <f t="shared" si="12"/>
        <v>N/A</v>
      </c>
      <c r="CL28" s="109"/>
      <c r="CM28" s="82" t="str">
        <f t="shared" si="13"/>
        <v>N/A</v>
      </c>
      <c r="CN28" s="109"/>
      <c r="CO28" s="82" t="str">
        <f t="shared" si="14"/>
        <v>N/A</v>
      </c>
      <c r="CP28" s="109"/>
      <c r="CQ28" s="82" t="str">
        <f t="shared" si="0"/>
        <v>N/A</v>
      </c>
      <c r="CR28" s="109"/>
      <c r="CS28" s="82" t="str">
        <f t="shared" si="15"/>
        <v>N/A</v>
      </c>
      <c r="CT28" s="109"/>
      <c r="CU28" s="82" t="str">
        <f t="shared" si="16"/>
        <v>N/A</v>
      </c>
      <c r="CV28" s="109"/>
      <c r="CW28" s="82" t="str">
        <f t="shared" si="21"/>
        <v>N/A</v>
      </c>
      <c r="CX28" s="109"/>
      <c r="CY28" s="82" t="str">
        <f t="shared" si="22"/>
        <v>N/A</v>
      </c>
      <c r="CZ28" s="109"/>
      <c r="DA28" s="82" t="str">
        <f t="shared" si="1"/>
        <v>N/A</v>
      </c>
      <c r="DB28" s="109"/>
    </row>
    <row r="29" spans="1:106" s="212" customFormat="1" ht="14.25" customHeight="1">
      <c r="A29" s="209"/>
      <c r="B29" s="377">
        <v>5010</v>
      </c>
      <c r="C29" s="257"/>
      <c r="D29" s="607" t="s">
        <v>313</v>
      </c>
      <c r="E29" s="608"/>
      <c r="F29" s="603"/>
      <c r="G29" s="604"/>
      <c r="H29" s="603"/>
      <c r="I29" s="604"/>
      <c r="J29" s="603"/>
      <c r="K29" s="604"/>
      <c r="L29" s="603"/>
      <c r="M29" s="604"/>
      <c r="N29" s="603"/>
      <c r="O29" s="604"/>
      <c r="P29" s="603"/>
      <c r="Q29" s="604"/>
      <c r="R29" s="603"/>
      <c r="S29" s="604"/>
      <c r="T29" s="603"/>
      <c r="U29" s="604"/>
      <c r="V29" s="603"/>
      <c r="W29" s="604"/>
      <c r="X29" s="603"/>
      <c r="Y29" s="604"/>
      <c r="Z29" s="603"/>
      <c r="AA29" s="604"/>
      <c r="AB29" s="603"/>
      <c r="AC29" s="604"/>
      <c r="AD29" s="603"/>
      <c r="AE29" s="604"/>
      <c r="AF29" s="603"/>
      <c r="AG29" s="604"/>
      <c r="AH29" s="603"/>
      <c r="AI29" s="604"/>
      <c r="AJ29" s="603"/>
      <c r="AK29" s="604"/>
      <c r="AL29" s="603"/>
      <c r="AM29" s="604"/>
      <c r="AN29" s="603"/>
      <c r="AO29" s="604"/>
      <c r="AP29" s="603"/>
      <c r="AQ29" s="604"/>
      <c r="AR29" s="603"/>
      <c r="AS29" s="604"/>
      <c r="AT29" s="603"/>
      <c r="AU29" s="604"/>
      <c r="AV29" s="603"/>
      <c r="AW29" s="604"/>
      <c r="AX29" s="603"/>
      <c r="AY29" s="604"/>
      <c r="AZ29" s="603"/>
      <c r="BA29" s="604"/>
      <c r="BC29" s="213"/>
      <c r="BD29" s="608"/>
      <c r="BE29" s="390" t="s">
        <v>120</v>
      </c>
      <c r="BF29" s="84"/>
      <c r="BG29" s="82"/>
      <c r="BH29" s="244"/>
      <c r="BI29" s="82"/>
      <c r="BJ29" s="244"/>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t="str">
        <f t="shared" si="1"/>
        <v>N/A</v>
      </c>
      <c r="DB29" s="82"/>
    </row>
    <row r="30" spans="1:106" s="212" customFormat="1" ht="14.25" customHeight="1">
      <c r="A30" s="209"/>
      <c r="B30" s="377">
        <v>279</v>
      </c>
      <c r="C30" s="257">
        <v>21</v>
      </c>
      <c r="D30" s="400" t="s">
        <v>311</v>
      </c>
      <c r="E30" s="260" t="s">
        <v>304</v>
      </c>
      <c r="F30" s="582"/>
      <c r="G30" s="596"/>
      <c r="H30" s="582"/>
      <c r="I30" s="596"/>
      <c r="J30" s="582"/>
      <c r="K30" s="596"/>
      <c r="L30" s="582"/>
      <c r="M30" s="596"/>
      <c r="N30" s="582"/>
      <c r="O30" s="596"/>
      <c r="P30" s="582"/>
      <c r="Q30" s="596"/>
      <c r="R30" s="582"/>
      <c r="S30" s="596"/>
      <c r="T30" s="582"/>
      <c r="U30" s="596"/>
      <c r="V30" s="582"/>
      <c r="W30" s="596"/>
      <c r="X30" s="582"/>
      <c r="Y30" s="596"/>
      <c r="Z30" s="582"/>
      <c r="AA30" s="596"/>
      <c r="AB30" s="582"/>
      <c r="AC30" s="596"/>
      <c r="AD30" s="582"/>
      <c r="AE30" s="596"/>
      <c r="AF30" s="582"/>
      <c r="AG30" s="596"/>
      <c r="AH30" s="582"/>
      <c r="AI30" s="596"/>
      <c r="AJ30" s="582"/>
      <c r="AK30" s="596"/>
      <c r="AL30" s="582"/>
      <c r="AM30" s="596"/>
      <c r="AN30" s="582"/>
      <c r="AO30" s="596"/>
      <c r="AP30" s="582"/>
      <c r="AQ30" s="596"/>
      <c r="AR30" s="582"/>
      <c r="AS30" s="596"/>
      <c r="AT30" s="582"/>
      <c r="AU30" s="596"/>
      <c r="AV30" s="582"/>
      <c r="AW30" s="596"/>
      <c r="AX30" s="582"/>
      <c r="AY30" s="596"/>
      <c r="AZ30" s="582"/>
      <c r="BA30" s="596"/>
      <c r="BC30" s="213"/>
      <c r="BD30" s="608">
        <v>21</v>
      </c>
      <c r="BE30" s="306" t="s">
        <v>66</v>
      </c>
      <c r="BF30" s="84" t="s">
        <v>444</v>
      </c>
      <c r="BG30" s="82" t="s">
        <v>448</v>
      </c>
      <c r="BH30" s="244"/>
      <c r="BI30" s="82" t="str">
        <f t="shared" si="2"/>
        <v>N/A</v>
      </c>
      <c r="BJ30" s="244"/>
      <c r="BK30" s="82" t="str">
        <f aca="true" t="shared" si="23" ref="BK30:BK38">IF(OR(ISBLANK(H30),ISBLANK(J30)),"N/A",IF(ABS((J30-H30)/H30)&gt;0.25,"&gt; 25%","ok"))</f>
        <v>N/A</v>
      </c>
      <c r="BL30" s="82"/>
      <c r="BM30" s="82" t="str">
        <f aca="true" t="shared" si="24" ref="BM30:BM38">IF(OR(ISBLANK(J30),ISBLANK(L30)),"N/A",IF(ABS((L30-J30)/J30)&gt;0.25,"&gt; 25%","ok"))</f>
        <v>N/A</v>
      </c>
      <c r="BN30" s="82"/>
      <c r="BO30" s="82" t="str">
        <f aca="true" t="shared" si="25" ref="BO30:BO38">IF(OR(ISBLANK(L30),ISBLANK(N30)),"N/A",IF(ABS((N30-L30)/L30)&gt;0.25,"&gt; 25%","ok"))</f>
        <v>N/A</v>
      </c>
      <c r="BP30" s="82"/>
      <c r="BQ30" s="82" t="str">
        <f aca="true" t="shared" si="26" ref="BQ30:BQ38">IF(OR(ISBLANK(N30),ISBLANK(P30)),"N/A",IF(ABS((P30-N30)/N30)&gt;0.25,"&gt; 25%","ok"))</f>
        <v>N/A</v>
      </c>
      <c r="BR30" s="82"/>
      <c r="BS30" s="82" t="str">
        <f t="shared" si="3"/>
        <v>N/A</v>
      </c>
      <c r="BT30" s="82"/>
      <c r="BU30" s="82" t="str">
        <f t="shared" si="4"/>
        <v>N/A</v>
      </c>
      <c r="BV30" s="82"/>
      <c r="BW30" s="82" t="str">
        <f t="shared" si="5"/>
        <v>N/A</v>
      </c>
      <c r="BX30" s="82"/>
      <c r="BY30" s="82" t="str">
        <f>IF(OR(ISBLANK(V30),ISBLANK(X30)),"N/A",IF(ABS((X30-V30)/V30)&gt;0.25,"&gt; 25%","ok"))</f>
        <v>N/A</v>
      </c>
      <c r="BZ30" s="82"/>
      <c r="CA30" s="82" t="str">
        <f t="shared" si="7"/>
        <v>N/A</v>
      </c>
      <c r="CB30" s="82"/>
      <c r="CC30" s="82" t="str">
        <f t="shared" si="8"/>
        <v>N/A</v>
      </c>
      <c r="CD30" s="82"/>
      <c r="CE30" s="82" t="str">
        <f t="shared" si="9"/>
        <v>N/A</v>
      </c>
      <c r="CF30" s="82"/>
      <c r="CG30" s="82" t="str">
        <f t="shared" si="10"/>
        <v>N/A</v>
      </c>
      <c r="CH30" s="82"/>
      <c r="CI30" s="82" t="str">
        <f t="shared" si="11"/>
        <v>N/A</v>
      </c>
      <c r="CJ30" s="82"/>
      <c r="CK30" s="82" t="str">
        <f t="shared" si="12"/>
        <v>N/A</v>
      </c>
      <c r="CL30" s="82"/>
      <c r="CM30" s="82" t="str">
        <f t="shared" si="13"/>
        <v>N/A</v>
      </c>
      <c r="CN30" s="82"/>
      <c r="CO30" s="82" t="str">
        <f t="shared" si="14"/>
        <v>N/A</v>
      </c>
      <c r="CP30" s="82"/>
      <c r="CQ30" s="82" t="str">
        <f t="shared" si="0"/>
        <v>N/A</v>
      </c>
      <c r="CR30" s="82"/>
      <c r="CS30" s="82" t="str">
        <f t="shared" si="15"/>
        <v>N/A</v>
      </c>
      <c r="CT30" s="82"/>
      <c r="CU30" s="82" t="str">
        <f t="shared" si="16"/>
        <v>N/A</v>
      </c>
      <c r="CV30" s="82"/>
      <c r="CW30" s="82" t="str">
        <f aca="true" t="shared" si="27" ref="CW30:CW38">IF(OR(ISBLANK(AT30),ISBLANK(AV30)),"N/A",IF(ABS((AV30-AT30)/AT30)&gt;0.25,"&gt; 25%","ok"))</f>
        <v>N/A</v>
      </c>
      <c r="CX30" s="82"/>
      <c r="CY30" s="82" t="str">
        <f aca="true" t="shared" si="28" ref="CY30:CY38">IF(OR(ISBLANK(AV30),ISBLANK(AX30)),"N/A",IF(ABS((AX30-AV30)/AV30)&gt;0.25,"&gt; 25%","ok"))</f>
        <v>N/A</v>
      </c>
      <c r="CZ30" s="82"/>
      <c r="DA30" s="82" t="str">
        <f t="shared" si="1"/>
        <v>N/A</v>
      </c>
      <c r="DB30" s="82"/>
    </row>
    <row r="31" spans="1:106" s="212" customFormat="1" ht="25.5" customHeight="1">
      <c r="A31" s="209"/>
      <c r="B31" s="377">
        <v>280</v>
      </c>
      <c r="C31" s="401">
        <v>22</v>
      </c>
      <c r="D31" s="400" t="s">
        <v>326</v>
      </c>
      <c r="E31" s="260" t="s">
        <v>304</v>
      </c>
      <c r="F31" s="583"/>
      <c r="G31" s="593"/>
      <c r="H31" s="583"/>
      <c r="I31" s="593"/>
      <c r="J31" s="583"/>
      <c r="K31" s="593"/>
      <c r="L31" s="583"/>
      <c r="M31" s="593"/>
      <c r="N31" s="583"/>
      <c r="O31" s="593"/>
      <c r="P31" s="583"/>
      <c r="Q31" s="593"/>
      <c r="R31" s="583"/>
      <c r="S31" s="593"/>
      <c r="T31" s="583"/>
      <c r="U31" s="593"/>
      <c r="V31" s="583"/>
      <c r="W31" s="593"/>
      <c r="X31" s="583"/>
      <c r="Y31" s="593"/>
      <c r="Z31" s="583"/>
      <c r="AA31" s="593"/>
      <c r="AB31" s="583"/>
      <c r="AC31" s="593"/>
      <c r="AD31" s="583"/>
      <c r="AE31" s="593"/>
      <c r="AF31" s="583"/>
      <c r="AG31" s="593"/>
      <c r="AH31" s="583"/>
      <c r="AI31" s="593"/>
      <c r="AJ31" s="583"/>
      <c r="AK31" s="593"/>
      <c r="AL31" s="583"/>
      <c r="AM31" s="593"/>
      <c r="AN31" s="583"/>
      <c r="AO31" s="593"/>
      <c r="AP31" s="583"/>
      <c r="AQ31" s="593"/>
      <c r="AR31" s="583"/>
      <c r="AS31" s="593"/>
      <c r="AT31" s="583"/>
      <c r="AU31" s="593"/>
      <c r="AV31" s="583"/>
      <c r="AW31" s="593"/>
      <c r="AX31" s="583"/>
      <c r="AY31" s="593"/>
      <c r="AZ31" s="583"/>
      <c r="BA31" s="593"/>
      <c r="BC31" s="213"/>
      <c r="BD31" s="682">
        <v>22</v>
      </c>
      <c r="BE31" s="306" t="s">
        <v>470</v>
      </c>
      <c r="BF31" s="84" t="s">
        <v>444</v>
      </c>
      <c r="BG31" s="82" t="s">
        <v>448</v>
      </c>
      <c r="BH31" s="249"/>
      <c r="BI31" s="82" t="str">
        <f t="shared" si="2"/>
        <v>N/A</v>
      </c>
      <c r="BJ31" s="244"/>
      <c r="BK31" s="82" t="str">
        <f t="shared" si="23"/>
        <v>N/A</v>
      </c>
      <c r="BL31" s="82"/>
      <c r="BM31" s="82" t="str">
        <f t="shared" si="24"/>
        <v>N/A</v>
      </c>
      <c r="BN31" s="82"/>
      <c r="BO31" s="82" t="str">
        <f t="shared" si="25"/>
        <v>N/A</v>
      </c>
      <c r="BP31" s="82"/>
      <c r="BQ31" s="82" t="str">
        <f t="shared" si="26"/>
        <v>N/A</v>
      </c>
      <c r="BR31" s="82"/>
      <c r="BS31" s="82" t="str">
        <f t="shared" si="3"/>
        <v>N/A</v>
      </c>
      <c r="BT31" s="82"/>
      <c r="BU31" s="82" t="str">
        <f t="shared" si="4"/>
        <v>N/A</v>
      </c>
      <c r="BV31" s="82"/>
      <c r="BW31" s="82" t="str">
        <f t="shared" si="5"/>
        <v>N/A</v>
      </c>
      <c r="BX31" s="82"/>
      <c r="BY31" s="82" t="str">
        <f t="shared" si="6"/>
        <v>N/A</v>
      </c>
      <c r="BZ31" s="82"/>
      <c r="CA31" s="82" t="str">
        <f t="shared" si="7"/>
        <v>N/A</v>
      </c>
      <c r="CB31" s="82"/>
      <c r="CC31" s="82" t="str">
        <f t="shared" si="8"/>
        <v>N/A</v>
      </c>
      <c r="CD31" s="82"/>
      <c r="CE31" s="82" t="str">
        <f t="shared" si="9"/>
        <v>N/A</v>
      </c>
      <c r="CF31" s="82"/>
      <c r="CG31" s="82" t="str">
        <f t="shared" si="10"/>
        <v>N/A</v>
      </c>
      <c r="CH31" s="82"/>
      <c r="CI31" s="82" t="str">
        <f t="shared" si="11"/>
        <v>N/A</v>
      </c>
      <c r="CJ31" s="82"/>
      <c r="CK31" s="82" t="str">
        <f t="shared" si="12"/>
        <v>N/A</v>
      </c>
      <c r="CL31" s="82"/>
      <c r="CM31" s="82" t="str">
        <f t="shared" si="13"/>
        <v>N/A</v>
      </c>
      <c r="CN31" s="82"/>
      <c r="CO31" s="82" t="str">
        <f t="shared" si="14"/>
        <v>N/A</v>
      </c>
      <c r="CP31" s="82"/>
      <c r="CQ31" s="82" t="str">
        <f t="shared" si="0"/>
        <v>N/A</v>
      </c>
      <c r="CR31" s="82"/>
      <c r="CS31" s="82" t="str">
        <f t="shared" si="15"/>
        <v>N/A</v>
      </c>
      <c r="CT31" s="82"/>
      <c r="CU31" s="82" t="str">
        <f t="shared" si="16"/>
        <v>N/A</v>
      </c>
      <c r="CV31" s="82"/>
      <c r="CW31" s="82" t="str">
        <f t="shared" si="27"/>
        <v>N/A</v>
      </c>
      <c r="CX31" s="82"/>
      <c r="CY31" s="82" t="str">
        <f t="shared" si="28"/>
        <v>N/A</v>
      </c>
      <c r="CZ31" s="82"/>
      <c r="DA31" s="82" t="str">
        <f t="shared" si="1"/>
        <v>N/A</v>
      </c>
      <c r="DB31" s="82"/>
    </row>
    <row r="32" spans="1:106" s="212" customFormat="1" ht="14.25" customHeight="1">
      <c r="A32" s="209"/>
      <c r="B32" s="377">
        <v>281</v>
      </c>
      <c r="C32" s="401">
        <v>23</v>
      </c>
      <c r="D32" s="679" t="s">
        <v>641</v>
      </c>
      <c r="E32" s="260" t="s">
        <v>304</v>
      </c>
      <c r="F32" s="583"/>
      <c r="G32" s="593"/>
      <c r="H32" s="583"/>
      <c r="I32" s="593"/>
      <c r="J32" s="583"/>
      <c r="K32" s="593"/>
      <c r="L32" s="583"/>
      <c r="M32" s="593"/>
      <c r="N32" s="583"/>
      <c r="O32" s="593"/>
      <c r="P32" s="583"/>
      <c r="Q32" s="593"/>
      <c r="R32" s="583"/>
      <c r="S32" s="593"/>
      <c r="T32" s="583"/>
      <c r="U32" s="593"/>
      <c r="V32" s="583"/>
      <c r="W32" s="593"/>
      <c r="X32" s="583"/>
      <c r="Y32" s="593"/>
      <c r="Z32" s="583"/>
      <c r="AA32" s="593"/>
      <c r="AB32" s="583"/>
      <c r="AC32" s="593"/>
      <c r="AD32" s="583"/>
      <c r="AE32" s="593"/>
      <c r="AF32" s="583"/>
      <c r="AG32" s="593"/>
      <c r="AH32" s="583"/>
      <c r="AI32" s="593"/>
      <c r="AJ32" s="583"/>
      <c r="AK32" s="593"/>
      <c r="AL32" s="583"/>
      <c r="AM32" s="593"/>
      <c r="AN32" s="583"/>
      <c r="AO32" s="593"/>
      <c r="AP32" s="583"/>
      <c r="AQ32" s="593"/>
      <c r="AR32" s="583"/>
      <c r="AS32" s="593"/>
      <c r="AT32" s="583"/>
      <c r="AU32" s="593"/>
      <c r="AV32" s="583"/>
      <c r="AW32" s="593"/>
      <c r="AX32" s="583"/>
      <c r="AY32" s="593"/>
      <c r="AZ32" s="583"/>
      <c r="BA32" s="593"/>
      <c r="BC32" s="213"/>
      <c r="BD32" s="682">
        <v>23</v>
      </c>
      <c r="BE32" s="306" t="s">
        <v>652</v>
      </c>
      <c r="BF32" s="84" t="s">
        <v>444</v>
      </c>
      <c r="BG32" s="82"/>
      <c r="BH32" s="249"/>
      <c r="BI32" s="82" t="str">
        <f t="shared" si="2"/>
        <v>N/A</v>
      </c>
      <c r="BJ32" s="244"/>
      <c r="BK32" s="82" t="str">
        <f t="shared" si="23"/>
        <v>N/A</v>
      </c>
      <c r="BL32" s="82"/>
      <c r="BM32" s="82" t="str">
        <f t="shared" si="24"/>
        <v>N/A</v>
      </c>
      <c r="BN32" s="82"/>
      <c r="BO32" s="82" t="str">
        <f t="shared" si="25"/>
        <v>N/A</v>
      </c>
      <c r="BP32" s="82"/>
      <c r="BQ32" s="82" t="str">
        <f>IF(OR(ISBLANK(N32),ISBLANK(P32)),"N/A",IF(ABS((P32-N32)/N32)&gt;0.25,"&gt; 25%","ok"))</f>
        <v>N/A</v>
      </c>
      <c r="BR32" s="82"/>
      <c r="BS32" s="82" t="str">
        <f t="shared" si="3"/>
        <v>N/A</v>
      </c>
      <c r="BT32" s="82"/>
      <c r="BU32" s="82" t="str">
        <f t="shared" si="4"/>
        <v>N/A</v>
      </c>
      <c r="BV32" s="82"/>
      <c r="BW32" s="82" t="str">
        <f t="shared" si="5"/>
        <v>N/A</v>
      </c>
      <c r="BX32" s="82"/>
      <c r="BY32" s="82" t="str">
        <f t="shared" si="6"/>
        <v>N/A</v>
      </c>
      <c r="BZ32" s="82"/>
      <c r="CA32" s="82" t="str">
        <f t="shared" si="7"/>
        <v>N/A</v>
      </c>
      <c r="CB32" s="82"/>
      <c r="CC32" s="82" t="str">
        <f t="shared" si="8"/>
        <v>N/A</v>
      </c>
      <c r="CD32" s="82"/>
      <c r="CE32" s="82" t="str">
        <f t="shared" si="9"/>
        <v>N/A</v>
      </c>
      <c r="CF32" s="82"/>
      <c r="CG32" s="82" t="str">
        <f t="shared" si="10"/>
        <v>N/A</v>
      </c>
      <c r="CH32" s="82"/>
      <c r="CI32" s="82" t="str">
        <f t="shared" si="11"/>
        <v>N/A</v>
      </c>
      <c r="CJ32" s="82"/>
      <c r="CK32" s="82" t="str">
        <f t="shared" si="12"/>
        <v>N/A</v>
      </c>
      <c r="CL32" s="82"/>
      <c r="CM32" s="82" t="str">
        <f t="shared" si="13"/>
        <v>N/A</v>
      </c>
      <c r="CN32" s="82"/>
      <c r="CO32" s="82" t="str">
        <f t="shared" si="14"/>
        <v>N/A</v>
      </c>
      <c r="CP32" s="82"/>
      <c r="CQ32" s="82" t="str">
        <f t="shared" si="0"/>
        <v>N/A</v>
      </c>
      <c r="CR32" s="82"/>
      <c r="CS32" s="82" t="str">
        <f t="shared" si="15"/>
        <v>N/A</v>
      </c>
      <c r="CT32" s="82"/>
      <c r="CU32" s="82" t="str">
        <f t="shared" si="16"/>
        <v>N/A</v>
      </c>
      <c r="CV32" s="82"/>
      <c r="CW32" s="82" t="str">
        <f t="shared" si="27"/>
        <v>N/A</v>
      </c>
      <c r="CX32" s="82"/>
      <c r="CY32" s="82" t="str">
        <f t="shared" si="28"/>
        <v>N/A</v>
      </c>
      <c r="CZ32" s="82"/>
      <c r="DA32" s="82" t="str">
        <f t="shared" si="1"/>
        <v>N/A</v>
      </c>
      <c r="DB32" s="82"/>
    </row>
    <row r="33" spans="1:106" s="212" customFormat="1" ht="14.25" customHeight="1">
      <c r="A33" s="209"/>
      <c r="B33" s="377">
        <v>201</v>
      </c>
      <c r="C33" s="401">
        <v>24</v>
      </c>
      <c r="D33" s="393" t="s">
        <v>573</v>
      </c>
      <c r="E33" s="260" t="s">
        <v>304</v>
      </c>
      <c r="F33" s="583"/>
      <c r="G33" s="593"/>
      <c r="H33" s="583"/>
      <c r="I33" s="593"/>
      <c r="J33" s="583"/>
      <c r="K33" s="593"/>
      <c r="L33" s="583"/>
      <c r="M33" s="593"/>
      <c r="N33" s="583"/>
      <c r="O33" s="593"/>
      <c r="P33" s="583"/>
      <c r="Q33" s="593"/>
      <c r="R33" s="583"/>
      <c r="S33" s="593"/>
      <c r="T33" s="583"/>
      <c r="U33" s="593"/>
      <c r="V33" s="583"/>
      <c r="W33" s="593"/>
      <c r="X33" s="583"/>
      <c r="Y33" s="593"/>
      <c r="Z33" s="583"/>
      <c r="AA33" s="593"/>
      <c r="AB33" s="583"/>
      <c r="AC33" s="593"/>
      <c r="AD33" s="583"/>
      <c r="AE33" s="593"/>
      <c r="AF33" s="583"/>
      <c r="AG33" s="593"/>
      <c r="AH33" s="583"/>
      <c r="AI33" s="593"/>
      <c r="AJ33" s="583"/>
      <c r="AK33" s="593"/>
      <c r="AL33" s="583"/>
      <c r="AM33" s="593"/>
      <c r="AN33" s="583"/>
      <c r="AO33" s="593"/>
      <c r="AP33" s="583"/>
      <c r="AQ33" s="593"/>
      <c r="AR33" s="583"/>
      <c r="AS33" s="593"/>
      <c r="AT33" s="583"/>
      <c r="AU33" s="593"/>
      <c r="AV33" s="583"/>
      <c r="AW33" s="593"/>
      <c r="AX33" s="583"/>
      <c r="AY33" s="593"/>
      <c r="AZ33" s="583"/>
      <c r="BA33" s="593"/>
      <c r="BC33" s="213"/>
      <c r="BD33" s="682">
        <v>24</v>
      </c>
      <c r="BE33" s="306" t="s">
        <v>653</v>
      </c>
      <c r="BF33" s="84" t="s">
        <v>444</v>
      </c>
      <c r="BG33" s="82"/>
      <c r="BH33" s="249"/>
      <c r="BI33" s="82" t="str">
        <f t="shared" si="2"/>
        <v>N/A</v>
      </c>
      <c r="BJ33" s="244"/>
      <c r="BK33" s="82" t="str">
        <f>IF(OR(ISBLANK(H33),ISBLANK(J33)),"N/A",IF(ABS((J33-H33)/H33)&gt;0.25,"&gt; 25%","ok"))</f>
        <v>N/A</v>
      </c>
      <c r="BL33" s="82"/>
      <c r="BM33" s="82" t="str">
        <f>IF(OR(ISBLANK(J33),ISBLANK(L33)),"N/A",IF(ABS((L33-J33)/J33)&gt;0.25,"&gt; 25%","ok"))</f>
        <v>N/A</v>
      </c>
      <c r="BN33" s="82"/>
      <c r="BO33" s="82" t="str">
        <f>IF(OR(ISBLANK(L33),ISBLANK(N33)),"N/A",IF(ABS((N33-L33)/L33)&gt;0.25,"&gt; 25%","ok"))</f>
        <v>N/A</v>
      </c>
      <c r="BP33" s="82"/>
      <c r="BQ33" s="82" t="str">
        <f>IF(OR(ISBLANK(N33),ISBLANK(P33)),"N/A",IF(ABS((P33-N33)/N33)&gt;0.25,"&gt; 25%","ok"))</f>
        <v>N/A</v>
      </c>
      <c r="BR33" s="82"/>
      <c r="BS33" s="82" t="str">
        <f t="shared" si="3"/>
        <v>N/A</v>
      </c>
      <c r="BT33" s="82"/>
      <c r="BU33" s="82" t="str">
        <f t="shared" si="4"/>
        <v>N/A</v>
      </c>
      <c r="BV33" s="82"/>
      <c r="BW33" s="82" t="str">
        <f t="shared" si="5"/>
        <v>N/A</v>
      </c>
      <c r="BX33" s="82"/>
      <c r="BY33" s="82" t="str">
        <f t="shared" si="6"/>
        <v>N/A</v>
      </c>
      <c r="BZ33" s="82"/>
      <c r="CA33" s="82" t="str">
        <f t="shared" si="7"/>
        <v>N/A</v>
      </c>
      <c r="CB33" s="82"/>
      <c r="CC33" s="82" t="str">
        <f t="shared" si="8"/>
        <v>N/A</v>
      </c>
      <c r="CD33" s="82"/>
      <c r="CE33" s="82" t="str">
        <f t="shared" si="9"/>
        <v>N/A</v>
      </c>
      <c r="CF33" s="82"/>
      <c r="CG33" s="82" t="str">
        <f t="shared" si="10"/>
        <v>N/A</v>
      </c>
      <c r="CH33" s="82"/>
      <c r="CI33" s="82" t="str">
        <f t="shared" si="11"/>
        <v>N/A</v>
      </c>
      <c r="CJ33" s="82"/>
      <c r="CK33" s="82" t="str">
        <f t="shared" si="12"/>
        <v>N/A</v>
      </c>
      <c r="CL33" s="82"/>
      <c r="CM33" s="82" t="str">
        <f t="shared" si="13"/>
        <v>N/A</v>
      </c>
      <c r="CN33" s="82"/>
      <c r="CO33" s="82" t="str">
        <f t="shared" si="14"/>
        <v>N/A</v>
      </c>
      <c r="CP33" s="82"/>
      <c r="CQ33" s="82" t="str">
        <f t="shared" si="0"/>
        <v>N/A</v>
      </c>
      <c r="CR33" s="82"/>
      <c r="CS33" s="82" t="str">
        <f t="shared" si="15"/>
        <v>N/A</v>
      </c>
      <c r="CT33" s="82"/>
      <c r="CU33" s="82" t="str">
        <f t="shared" si="16"/>
        <v>N/A</v>
      </c>
      <c r="CV33" s="82"/>
      <c r="CW33" s="82" t="str">
        <f>IF(OR(ISBLANK(AT33),ISBLANK(AV33)),"N/A",IF(ABS((AV33-AT33)/AT33)&gt;0.25,"&gt; 25%","ok"))</f>
        <v>N/A</v>
      </c>
      <c r="CX33" s="82"/>
      <c r="CY33" s="82" t="str">
        <f>IF(OR(ISBLANK(AV33),ISBLANK(AX33)),"N/A",IF(ABS((AX33-AV33)/AV33)&gt;0.25,"&gt; 25%","ok"))</f>
        <v>N/A</v>
      </c>
      <c r="CZ33" s="82"/>
      <c r="DA33" s="82" t="str">
        <f t="shared" si="1"/>
        <v>N/A</v>
      </c>
      <c r="DB33" s="82"/>
    </row>
    <row r="34" spans="1:106" s="212" customFormat="1" ht="14.25" customHeight="1">
      <c r="A34" s="209"/>
      <c r="B34" s="377">
        <v>282</v>
      </c>
      <c r="C34" s="401">
        <v>25</v>
      </c>
      <c r="D34" s="400" t="s">
        <v>642</v>
      </c>
      <c r="E34" s="260" t="s">
        <v>304</v>
      </c>
      <c r="F34" s="583"/>
      <c r="G34" s="593"/>
      <c r="H34" s="583"/>
      <c r="I34" s="593"/>
      <c r="J34" s="583"/>
      <c r="K34" s="593"/>
      <c r="L34" s="583"/>
      <c r="M34" s="593"/>
      <c r="N34" s="583"/>
      <c r="O34" s="593"/>
      <c r="P34" s="583"/>
      <c r="Q34" s="593"/>
      <c r="R34" s="583"/>
      <c r="S34" s="593"/>
      <c r="T34" s="583"/>
      <c r="U34" s="593"/>
      <c r="V34" s="583"/>
      <c r="W34" s="593"/>
      <c r="X34" s="583"/>
      <c r="Y34" s="593"/>
      <c r="Z34" s="583"/>
      <c r="AA34" s="593"/>
      <c r="AB34" s="583"/>
      <c r="AC34" s="593"/>
      <c r="AD34" s="583"/>
      <c r="AE34" s="593"/>
      <c r="AF34" s="583"/>
      <c r="AG34" s="593"/>
      <c r="AH34" s="583"/>
      <c r="AI34" s="593"/>
      <c r="AJ34" s="583"/>
      <c r="AK34" s="593"/>
      <c r="AL34" s="583"/>
      <c r="AM34" s="593"/>
      <c r="AN34" s="583"/>
      <c r="AO34" s="593"/>
      <c r="AP34" s="583"/>
      <c r="AQ34" s="593"/>
      <c r="AR34" s="583"/>
      <c r="AS34" s="593"/>
      <c r="AT34" s="583"/>
      <c r="AU34" s="593"/>
      <c r="AV34" s="583"/>
      <c r="AW34" s="593"/>
      <c r="AX34" s="583"/>
      <c r="AY34" s="593"/>
      <c r="AZ34" s="583"/>
      <c r="BA34" s="593"/>
      <c r="BC34" s="213"/>
      <c r="BD34" s="682">
        <v>25</v>
      </c>
      <c r="BE34" s="306" t="s">
        <v>67</v>
      </c>
      <c r="BF34" s="84" t="s">
        <v>444</v>
      </c>
      <c r="BG34" s="82" t="s">
        <v>448</v>
      </c>
      <c r="BH34" s="249"/>
      <c r="BI34" s="82" t="str">
        <f t="shared" si="2"/>
        <v>N/A</v>
      </c>
      <c r="BJ34" s="244"/>
      <c r="BK34" s="82" t="str">
        <f t="shared" si="23"/>
        <v>N/A</v>
      </c>
      <c r="BL34" s="82"/>
      <c r="BM34" s="82" t="str">
        <f t="shared" si="24"/>
        <v>N/A</v>
      </c>
      <c r="BN34" s="82"/>
      <c r="BO34" s="82" t="str">
        <f t="shared" si="25"/>
        <v>N/A</v>
      </c>
      <c r="BP34" s="82"/>
      <c r="BQ34" s="82" t="str">
        <f t="shared" si="26"/>
        <v>N/A</v>
      </c>
      <c r="BR34" s="82"/>
      <c r="BS34" s="82" t="str">
        <f t="shared" si="3"/>
        <v>N/A</v>
      </c>
      <c r="BT34" s="82"/>
      <c r="BU34" s="82" t="str">
        <f t="shared" si="4"/>
        <v>N/A</v>
      </c>
      <c r="BV34" s="82"/>
      <c r="BW34" s="82" t="str">
        <f t="shared" si="5"/>
        <v>N/A</v>
      </c>
      <c r="BX34" s="82"/>
      <c r="BY34" s="82" t="str">
        <f t="shared" si="6"/>
        <v>N/A</v>
      </c>
      <c r="BZ34" s="82"/>
      <c r="CA34" s="82" t="str">
        <f t="shared" si="7"/>
        <v>N/A</v>
      </c>
      <c r="CB34" s="82"/>
      <c r="CC34" s="82" t="str">
        <f t="shared" si="8"/>
        <v>N/A</v>
      </c>
      <c r="CD34" s="82"/>
      <c r="CE34" s="82" t="str">
        <f t="shared" si="9"/>
        <v>N/A</v>
      </c>
      <c r="CF34" s="82"/>
      <c r="CG34" s="82" t="str">
        <f t="shared" si="10"/>
        <v>N/A</v>
      </c>
      <c r="CH34" s="82"/>
      <c r="CI34" s="82" t="str">
        <f t="shared" si="11"/>
        <v>N/A</v>
      </c>
      <c r="CJ34" s="82"/>
      <c r="CK34" s="82" t="str">
        <f t="shared" si="12"/>
        <v>N/A</v>
      </c>
      <c r="CL34" s="82"/>
      <c r="CM34" s="82" t="str">
        <f t="shared" si="13"/>
        <v>N/A</v>
      </c>
      <c r="CN34" s="82"/>
      <c r="CO34" s="82" t="str">
        <f t="shared" si="14"/>
        <v>N/A</v>
      </c>
      <c r="CP34" s="82"/>
      <c r="CQ34" s="82" t="str">
        <f t="shared" si="0"/>
        <v>N/A</v>
      </c>
      <c r="CR34" s="82"/>
      <c r="CS34" s="82" t="str">
        <f t="shared" si="15"/>
        <v>N/A</v>
      </c>
      <c r="CT34" s="82"/>
      <c r="CU34" s="82" t="str">
        <f t="shared" si="16"/>
        <v>N/A</v>
      </c>
      <c r="CV34" s="82"/>
      <c r="CW34" s="82" t="str">
        <f t="shared" si="27"/>
        <v>N/A</v>
      </c>
      <c r="CX34" s="82"/>
      <c r="CY34" s="82" t="str">
        <f t="shared" si="28"/>
        <v>N/A</v>
      </c>
      <c r="CZ34" s="82"/>
      <c r="DA34" s="82" t="str">
        <f t="shared" si="1"/>
        <v>N/A</v>
      </c>
      <c r="DB34" s="82"/>
    </row>
    <row r="35" spans="1:106" s="212" customFormat="1" ht="25.5" customHeight="1">
      <c r="A35" s="209"/>
      <c r="B35" s="377">
        <v>202</v>
      </c>
      <c r="C35" s="401">
        <v>26</v>
      </c>
      <c r="D35" s="393" t="s">
        <v>574</v>
      </c>
      <c r="E35" s="260" t="s">
        <v>304</v>
      </c>
      <c r="F35" s="605"/>
      <c r="G35" s="593"/>
      <c r="H35" s="605"/>
      <c r="I35" s="593"/>
      <c r="J35" s="605"/>
      <c r="K35" s="593"/>
      <c r="L35" s="605"/>
      <c r="M35" s="593"/>
      <c r="N35" s="605"/>
      <c r="O35" s="593"/>
      <c r="P35" s="605"/>
      <c r="Q35" s="593"/>
      <c r="R35" s="605"/>
      <c r="S35" s="593"/>
      <c r="T35" s="605"/>
      <c r="U35" s="593"/>
      <c r="V35" s="605"/>
      <c r="W35" s="593"/>
      <c r="X35" s="605"/>
      <c r="Y35" s="593"/>
      <c r="Z35" s="605"/>
      <c r="AA35" s="593"/>
      <c r="AB35" s="605"/>
      <c r="AC35" s="593"/>
      <c r="AD35" s="605"/>
      <c r="AE35" s="593"/>
      <c r="AF35" s="605"/>
      <c r="AG35" s="593"/>
      <c r="AH35" s="605"/>
      <c r="AI35" s="593"/>
      <c r="AJ35" s="605"/>
      <c r="AK35" s="593"/>
      <c r="AL35" s="605"/>
      <c r="AM35" s="593"/>
      <c r="AN35" s="605"/>
      <c r="AO35" s="593"/>
      <c r="AP35" s="605"/>
      <c r="AQ35" s="593"/>
      <c r="AR35" s="605"/>
      <c r="AS35" s="593"/>
      <c r="AT35" s="605"/>
      <c r="AU35" s="593"/>
      <c r="AV35" s="605"/>
      <c r="AW35" s="593"/>
      <c r="AX35" s="605"/>
      <c r="AY35" s="593"/>
      <c r="AZ35" s="605"/>
      <c r="BA35" s="593"/>
      <c r="BC35" s="213"/>
      <c r="BD35" s="682">
        <v>26</v>
      </c>
      <c r="BE35" s="306" t="s">
        <v>654</v>
      </c>
      <c r="BF35" s="84" t="s">
        <v>444</v>
      </c>
      <c r="BG35" s="82"/>
      <c r="BH35" s="249"/>
      <c r="BI35" s="82" t="str">
        <f t="shared" si="2"/>
        <v>N/A</v>
      </c>
      <c r="BJ35" s="244"/>
      <c r="BK35" s="82" t="str">
        <f>IF(OR(ISBLANK(H35),ISBLANK(J35)),"N/A",IF(ABS((J35-H35)/H35)&gt;0.25,"&gt; 25%","ok"))</f>
        <v>N/A</v>
      </c>
      <c r="BL35" s="82"/>
      <c r="BM35" s="82" t="str">
        <f>IF(OR(ISBLANK(J35),ISBLANK(L35)),"N/A",IF(ABS((L35-J35)/J35)&gt;0.25,"&gt; 25%","ok"))</f>
        <v>N/A</v>
      </c>
      <c r="BN35" s="82"/>
      <c r="BO35" s="82" t="str">
        <f>IF(OR(ISBLANK(L35),ISBLANK(N35)),"N/A",IF(ABS((N35-L35)/L35)&gt;0.25,"&gt; 25%","ok"))</f>
        <v>N/A</v>
      </c>
      <c r="BP35" s="82"/>
      <c r="BQ35" s="82" t="str">
        <f>IF(OR(ISBLANK(N35),ISBLANK(P35)),"N/A",IF(ABS((P35-N35)/N35)&gt;0.25,"&gt; 25%","ok"))</f>
        <v>N/A</v>
      </c>
      <c r="BR35" s="82"/>
      <c r="BS35" s="82" t="str">
        <f t="shared" si="3"/>
        <v>N/A</v>
      </c>
      <c r="BT35" s="82"/>
      <c r="BU35" s="82" t="str">
        <f t="shared" si="4"/>
        <v>N/A</v>
      </c>
      <c r="BV35" s="82"/>
      <c r="BW35" s="82" t="str">
        <f t="shared" si="5"/>
        <v>N/A</v>
      </c>
      <c r="BX35" s="82"/>
      <c r="BY35" s="82" t="str">
        <f t="shared" si="6"/>
        <v>N/A</v>
      </c>
      <c r="BZ35" s="82"/>
      <c r="CA35" s="82" t="str">
        <f t="shared" si="7"/>
        <v>N/A</v>
      </c>
      <c r="CB35" s="82"/>
      <c r="CC35" s="82" t="str">
        <f t="shared" si="8"/>
        <v>N/A</v>
      </c>
      <c r="CD35" s="82"/>
      <c r="CE35" s="82" t="str">
        <f t="shared" si="9"/>
        <v>N/A</v>
      </c>
      <c r="CF35" s="82"/>
      <c r="CG35" s="82" t="str">
        <f t="shared" si="10"/>
        <v>N/A</v>
      </c>
      <c r="CH35" s="82"/>
      <c r="CI35" s="82" t="str">
        <f t="shared" si="11"/>
        <v>N/A</v>
      </c>
      <c r="CJ35" s="82"/>
      <c r="CK35" s="82" t="str">
        <f t="shared" si="12"/>
        <v>N/A</v>
      </c>
      <c r="CL35" s="82"/>
      <c r="CM35" s="82" t="str">
        <f t="shared" si="13"/>
        <v>N/A</v>
      </c>
      <c r="CN35" s="82"/>
      <c r="CO35" s="82" t="str">
        <f t="shared" si="14"/>
        <v>N/A</v>
      </c>
      <c r="CP35" s="82"/>
      <c r="CQ35" s="82" t="str">
        <f t="shared" si="0"/>
        <v>N/A</v>
      </c>
      <c r="CR35" s="82"/>
      <c r="CS35" s="82" t="str">
        <f t="shared" si="15"/>
        <v>N/A</v>
      </c>
      <c r="CT35" s="82"/>
      <c r="CU35" s="82" t="str">
        <f t="shared" si="16"/>
        <v>N/A</v>
      </c>
      <c r="CV35" s="82"/>
      <c r="CW35" s="82" t="str">
        <f>IF(OR(ISBLANK(AT35),ISBLANK(AV35)),"N/A",IF(ABS((AV35-AT35)/AT35)&gt;0.25,"&gt; 25%","ok"))</f>
        <v>N/A</v>
      </c>
      <c r="CX35" s="82"/>
      <c r="CY35" s="82" t="str">
        <f>IF(OR(ISBLANK(AV35),ISBLANK(AX35)),"N/A",IF(ABS((AX35-AV35)/AV35)&gt;0.25,"&gt; 25%","ok"))</f>
        <v>N/A</v>
      </c>
      <c r="CZ35" s="82"/>
      <c r="DA35" s="82" t="str">
        <f t="shared" si="1"/>
        <v>N/A</v>
      </c>
      <c r="DB35" s="82"/>
    </row>
    <row r="36" spans="1:106" s="212" customFormat="1" ht="25.5" customHeight="1">
      <c r="A36" s="209"/>
      <c r="B36" s="377">
        <v>283</v>
      </c>
      <c r="C36" s="401">
        <v>27</v>
      </c>
      <c r="D36" s="461" t="s">
        <v>575</v>
      </c>
      <c r="E36" s="260" t="s">
        <v>304</v>
      </c>
      <c r="F36" s="655"/>
      <c r="G36" s="594"/>
      <c r="H36" s="655"/>
      <c r="I36" s="594"/>
      <c r="J36" s="655"/>
      <c r="K36" s="594"/>
      <c r="L36" s="655"/>
      <c r="M36" s="594"/>
      <c r="N36" s="655"/>
      <c r="O36" s="594"/>
      <c r="P36" s="655"/>
      <c r="Q36" s="594"/>
      <c r="R36" s="655"/>
      <c r="S36" s="594"/>
      <c r="T36" s="655"/>
      <c r="U36" s="594"/>
      <c r="V36" s="655"/>
      <c r="W36" s="594"/>
      <c r="X36" s="655"/>
      <c r="Y36" s="594"/>
      <c r="Z36" s="655"/>
      <c r="AA36" s="594"/>
      <c r="AB36" s="655"/>
      <c r="AC36" s="594"/>
      <c r="AD36" s="655"/>
      <c r="AE36" s="594"/>
      <c r="AF36" s="655"/>
      <c r="AG36" s="594"/>
      <c r="AH36" s="655"/>
      <c r="AI36" s="594"/>
      <c r="AJ36" s="655"/>
      <c r="AK36" s="594"/>
      <c r="AL36" s="655"/>
      <c r="AM36" s="594"/>
      <c r="AN36" s="655"/>
      <c r="AO36" s="594"/>
      <c r="AP36" s="655"/>
      <c r="AQ36" s="594"/>
      <c r="AR36" s="655"/>
      <c r="AS36" s="594"/>
      <c r="AT36" s="655"/>
      <c r="AU36" s="594"/>
      <c r="AV36" s="655"/>
      <c r="AW36" s="594"/>
      <c r="AX36" s="655"/>
      <c r="AY36" s="594"/>
      <c r="AZ36" s="655"/>
      <c r="BA36" s="594"/>
      <c r="BC36" s="213"/>
      <c r="BD36" s="682">
        <v>27</v>
      </c>
      <c r="BE36" s="683" t="s">
        <v>655</v>
      </c>
      <c r="BF36" s="84" t="s">
        <v>444</v>
      </c>
      <c r="BG36" s="82" t="s">
        <v>448</v>
      </c>
      <c r="BH36" s="249"/>
      <c r="BI36" s="82" t="str">
        <f t="shared" si="2"/>
        <v>N/A</v>
      </c>
      <c r="BJ36" s="244"/>
      <c r="BK36" s="82" t="str">
        <f t="shared" si="23"/>
        <v>N/A</v>
      </c>
      <c r="BL36" s="82"/>
      <c r="BM36" s="82" t="str">
        <f t="shared" si="24"/>
        <v>N/A</v>
      </c>
      <c r="BN36" s="82"/>
      <c r="BO36" s="82" t="str">
        <f t="shared" si="25"/>
        <v>N/A</v>
      </c>
      <c r="BP36" s="82"/>
      <c r="BQ36" s="82" t="str">
        <f t="shared" si="26"/>
        <v>N/A</v>
      </c>
      <c r="BR36" s="82"/>
      <c r="BS36" s="82" t="str">
        <f t="shared" si="3"/>
        <v>N/A</v>
      </c>
      <c r="BT36" s="82"/>
      <c r="BU36" s="82" t="str">
        <f t="shared" si="4"/>
        <v>N/A</v>
      </c>
      <c r="BV36" s="82"/>
      <c r="BW36" s="82" t="str">
        <f t="shared" si="5"/>
        <v>N/A</v>
      </c>
      <c r="BX36" s="82"/>
      <c r="BY36" s="82" t="str">
        <f t="shared" si="6"/>
        <v>N/A</v>
      </c>
      <c r="BZ36" s="82"/>
      <c r="CA36" s="82" t="str">
        <f t="shared" si="7"/>
        <v>N/A</v>
      </c>
      <c r="CB36" s="82"/>
      <c r="CC36" s="82" t="str">
        <f t="shared" si="8"/>
        <v>N/A</v>
      </c>
      <c r="CD36" s="82"/>
      <c r="CE36" s="82" t="str">
        <f t="shared" si="9"/>
        <v>N/A</v>
      </c>
      <c r="CF36" s="82"/>
      <c r="CG36" s="82" t="str">
        <f t="shared" si="10"/>
        <v>N/A</v>
      </c>
      <c r="CH36" s="82"/>
      <c r="CI36" s="82" t="str">
        <f t="shared" si="11"/>
        <v>N/A</v>
      </c>
      <c r="CJ36" s="82"/>
      <c r="CK36" s="82" t="str">
        <f t="shared" si="12"/>
        <v>N/A</v>
      </c>
      <c r="CL36" s="82"/>
      <c r="CM36" s="82" t="str">
        <f t="shared" si="13"/>
        <v>N/A</v>
      </c>
      <c r="CN36" s="82"/>
      <c r="CO36" s="82" t="str">
        <f t="shared" si="14"/>
        <v>N/A</v>
      </c>
      <c r="CP36" s="82"/>
      <c r="CQ36" s="82" t="str">
        <f t="shared" si="0"/>
        <v>N/A</v>
      </c>
      <c r="CR36" s="82"/>
      <c r="CS36" s="82" t="str">
        <f t="shared" si="15"/>
        <v>N/A</v>
      </c>
      <c r="CT36" s="82"/>
      <c r="CU36" s="82" t="str">
        <f t="shared" si="16"/>
        <v>N/A</v>
      </c>
      <c r="CV36" s="82"/>
      <c r="CW36" s="82" t="str">
        <f t="shared" si="27"/>
        <v>N/A</v>
      </c>
      <c r="CX36" s="82"/>
      <c r="CY36" s="82" t="str">
        <f t="shared" si="28"/>
        <v>N/A</v>
      </c>
      <c r="CZ36" s="82"/>
      <c r="DA36" s="82" t="str">
        <f t="shared" si="1"/>
        <v>N/A</v>
      </c>
      <c r="DB36" s="82"/>
    </row>
    <row r="37" spans="1:106" s="212" customFormat="1" ht="14.25" customHeight="1">
      <c r="A37" s="209"/>
      <c r="B37" s="377">
        <v>203</v>
      </c>
      <c r="C37" s="654">
        <v>28</v>
      </c>
      <c r="D37" s="393" t="s">
        <v>576</v>
      </c>
      <c r="E37" s="260" t="s">
        <v>304</v>
      </c>
      <c r="F37" s="655"/>
      <c r="G37" s="594"/>
      <c r="H37" s="655"/>
      <c r="I37" s="594"/>
      <c r="J37" s="655"/>
      <c r="K37" s="594"/>
      <c r="L37" s="655"/>
      <c r="M37" s="594"/>
      <c r="N37" s="655"/>
      <c r="O37" s="594"/>
      <c r="P37" s="655"/>
      <c r="Q37" s="594"/>
      <c r="R37" s="655"/>
      <c r="S37" s="594"/>
      <c r="T37" s="655"/>
      <c r="U37" s="594"/>
      <c r="V37" s="655"/>
      <c r="W37" s="594"/>
      <c r="X37" s="655"/>
      <c r="Y37" s="594"/>
      <c r="Z37" s="655"/>
      <c r="AA37" s="594"/>
      <c r="AB37" s="655"/>
      <c r="AC37" s="594"/>
      <c r="AD37" s="655"/>
      <c r="AE37" s="594"/>
      <c r="AF37" s="655"/>
      <c r="AG37" s="594"/>
      <c r="AH37" s="655"/>
      <c r="AI37" s="594"/>
      <c r="AJ37" s="655"/>
      <c r="AK37" s="594"/>
      <c r="AL37" s="655"/>
      <c r="AM37" s="594"/>
      <c r="AN37" s="655"/>
      <c r="AO37" s="594"/>
      <c r="AP37" s="655"/>
      <c r="AQ37" s="594"/>
      <c r="AR37" s="655"/>
      <c r="AS37" s="594"/>
      <c r="AT37" s="655"/>
      <c r="AU37" s="594"/>
      <c r="AV37" s="655"/>
      <c r="AW37" s="594"/>
      <c r="AX37" s="655"/>
      <c r="AY37" s="594"/>
      <c r="AZ37" s="655"/>
      <c r="BA37" s="594"/>
      <c r="BC37" s="213"/>
      <c r="BD37" s="684">
        <v>28</v>
      </c>
      <c r="BE37" s="306" t="s">
        <v>649</v>
      </c>
      <c r="BF37" s="84" t="s">
        <v>444</v>
      </c>
      <c r="BG37" s="82"/>
      <c r="BH37" s="249"/>
      <c r="BI37" s="82" t="str">
        <f t="shared" si="2"/>
        <v>N/A</v>
      </c>
      <c r="BJ37" s="244"/>
      <c r="BK37" s="82" t="str">
        <f>IF(OR(ISBLANK(H37),ISBLANK(J37)),"N/A",IF(ABS((J37-H37)/H37)&gt;0.25,"&gt; 25%","ok"))</f>
        <v>N/A</v>
      </c>
      <c r="BL37" s="82"/>
      <c r="BM37" s="82" t="str">
        <f>IF(OR(ISBLANK(J37),ISBLANK(L37)),"N/A",IF(ABS((L37-J37)/J37)&gt;0.25,"&gt; 25%","ok"))</f>
        <v>N/A</v>
      </c>
      <c r="BN37" s="82"/>
      <c r="BO37" s="82" t="str">
        <f>IF(OR(ISBLANK(L37),ISBLANK(N37)),"N/A",IF(ABS((N37-L37)/L37)&gt;0.25,"&gt; 25%","ok"))</f>
        <v>N/A</v>
      </c>
      <c r="BP37" s="82"/>
      <c r="BQ37" s="82" t="str">
        <f>IF(OR(ISBLANK(N37),ISBLANK(P37)),"N/A",IF(ABS((P37-N37)/N37)&gt;0.25,"&gt; 25%","ok"))</f>
        <v>N/A</v>
      </c>
      <c r="BR37" s="82"/>
      <c r="BS37" s="82" t="str">
        <f t="shared" si="3"/>
        <v>N/A</v>
      </c>
      <c r="BT37" s="82"/>
      <c r="BU37" s="82" t="str">
        <f t="shared" si="4"/>
        <v>N/A</v>
      </c>
      <c r="BV37" s="82"/>
      <c r="BW37" s="82" t="str">
        <f t="shared" si="5"/>
        <v>N/A</v>
      </c>
      <c r="BX37" s="82"/>
      <c r="BY37" s="82" t="str">
        <f t="shared" si="6"/>
        <v>N/A</v>
      </c>
      <c r="BZ37" s="82"/>
      <c r="CA37" s="82" t="str">
        <f t="shared" si="7"/>
        <v>N/A</v>
      </c>
      <c r="CB37" s="82"/>
      <c r="CC37" s="82" t="str">
        <f t="shared" si="8"/>
        <v>N/A</v>
      </c>
      <c r="CD37" s="82"/>
      <c r="CE37" s="82" t="str">
        <f t="shared" si="9"/>
        <v>N/A</v>
      </c>
      <c r="CF37" s="82"/>
      <c r="CG37" s="82" t="str">
        <f t="shared" si="10"/>
        <v>N/A</v>
      </c>
      <c r="CH37" s="82"/>
      <c r="CI37" s="82" t="str">
        <f t="shared" si="11"/>
        <v>N/A</v>
      </c>
      <c r="CJ37" s="82"/>
      <c r="CK37" s="82" t="str">
        <f t="shared" si="12"/>
        <v>N/A</v>
      </c>
      <c r="CL37" s="82"/>
      <c r="CM37" s="82" t="str">
        <f t="shared" si="13"/>
        <v>N/A</v>
      </c>
      <c r="CN37" s="82"/>
      <c r="CO37" s="82" t="str">
        <f t="shared" si="14"/>
        <v>N/A</v>
      </c>
      <c r="CP37" s="82"/>
      <c r="CQ37" s="82" t="str">
        <f t="shared" si="0"/>
        <v>N/A</v>
      </c>
      <c r="CR37" s="82"/>
      <c r="CS37" s="82" t="str">
        <f t="shared" si="15"/>
        <v>N/A</v>
      </c>
      <c r="CT37" s="82"/>
      <c r="CU37" s="82" t="str">
        <f t="shared" si="16"/>
        <v>N/A</v>
      </c>
      <c r="CV37" s="82"/>
      <c r="CW37" s="82" t="str">
        <f>IF(OR(ISBLANK(AT37),ISBLANK(AV37)),"N/A",IF(ABS((AV37-AT37)/AT37)&gt;0.25,"&gt; 25%","ok"))</f>
        <v>N/A</v>
      </c>
      <c r="CX37" s="82"/>
      <c r="CY37" s="82" t="str">
        <f>IF(OR(ISBLANK(AV37),ISBLANK(AX37)),"N/A",IF(ABS((AX37-AV37)/AV37)&gt;0.25,"&gt; 25%","ok"))</f>
        <v>N/A</v>
      </c>
      <c r="CZ37" s="82"/>
      <c r="DA37" s="82" t="str">
        <f t="shared" si="1"/>
        <v>N/A</v>
      </c>
      <c r="DB37" s="82"/>
    </row>
    <row r="38" spans="1:106" s="212" customFormat="1" ht="14.25" customHeight="1">
      <c r="A38" s="209"/>
      <c r="B38" s="377">
        <v>204</v>
      </c>
      <c r="C38" s="402">
        <v>29</v>
      </c>
      <c r="D38" s="680" t="s">
        <v>643</v>
      </c>
      <c r="E38" s="269" t="s">
        <v>304</v>
      </c>
      <c r="F38" s="606"/>
      <c r="G38" s="595"/>
      <c r="H38" s="606"/>
      <c r="I38" s="595"/>
      <c r="J38" s="606"/>
      <c r="K38" s="595"/>
      <c r="L38" s="606"/>
      <c r="M38" s="595"/>
      <c r="N38" s="606"/>
      <c r="O38" s="595"/>
      <c r="P38" s="606"/>
      <c r="Q38" s="595"/>
      <c r="R38" s="606"/>
      <c r="S38" s="595"/>
      <c r="T38" s="606"/>
      <c r="U38" s="595"/>
      <c r="V38" s="606"/>
      <c r="W38" s="595"/>
      <c r="X38" s="606"/>
      <c r="Y38" s="595"/>
      <c r="Z38" s="606"/>
      <c r="AA38" s="595"/>
      <c r="AB38" s="606"/>
      <c r="AC38" s="595"/>
      <c r="AD38" s="606"/>
      <c r="AE38" s="595"/>
      <c r="AF38" s="606"/>
      <c r="AG38" s="595"/>
      <c r="AH38" s="606"/>
      <c r="AI38" s="595"/>
      <c r="AJ38" s="606"/>
      <c r="AK38" s="595"/>
      <c r="AL38" s="606"/>
      <c r="AM38" s="595"/>
      <c r="AN38" s="606"/>
      <c r="AO38" s="595"/>
      <c r="AP38" s="606"/>
      <c r="AQ38" s="595"/>
      <c r="AR38" s="606"/>
      <c r="AS38" s="595"/>
      <c r="AT38" s="606"/>
      <c r="AU38" s="595"/>
      <c r="AV38" s="606"/>
      <c r="AW38" s="595"/>
      <c r="AX38" s="606"/>
      <c r="AY38" s="595"/>
      <c r="AZ38" s="606"/>
      <c r="BA38" s="595"/>
      <c r="BC38" s="213"/>
      <c r="BD38" s="685">
        <v>29</v>
      </c>
      <c r="BE38" s="248" t="s">
        <v>68</v>
      </c>
      <c r="BF38" s="84" t="s">
        <v>444</v>
      </c>
      <c r="BG38" s="82" t="s">
        <v>448</v>
      </c>
      <c r="BH38" s="249"/>
      <c r="BI38" s="82" t="str">
        <f t="shared" si="2"/>
        <v>N/A</v>
      </c>
      <c r="BJ38" s="244"/>
      <c r="BK38" s="82" t="str">
        <f t="shared" si="23"/>
        <v>N/A</v>
      </c>
      <c r="BL38" s="82"/>
      <c r="BM38" s="82" t="str">
        <f t="shared" si="24"/>
        <v>N/A</v>
      </c>
      <c r="BN38" s="82"/>
      <c r="BO38" s="82" t="str">
        <f t="shared" si="25"/>
        <v>N/A</v>
      </c>
      <c r="BP38" s="82"/>
      <c r="BQ38" s="82" t="str">
        <f t="shared" si="26"/>
        <v>N/A</v>
      </c>
      <c r="BR38" s="82"/>
      <c r="BS38" s="82" t="str">
        <f t="shared" si="3"/>
        <v>N/A</v>
      </c>
      <c r="BT38" s="82"/>
      <c r="BU38" s="82" t="str">
        <f t="shared" si="4"/>
        <v>N/A</v>
      </c>
      <c r="BV38" s="82"/>
      <c r="BW38" s="82" t="str">
        <f t="shared" si="5"/>
        <v>N/A</v>
      </c>
      <c r="BX38" s="82"/>
      <c r="BY38" s="82" t="str">
        <f t="shared" si="6"/>
        <v>N/A</v>
      </c>
      <c r="BZ38" s="82"/>
      <c r="CA38" s="82" t="str">
        <f t="shared" si="7"/>
        <v>N/A</v>
      </c>
      <c r="CB38" s="82"/>
      <c r="CC38" s="82" t="str">
        <f t="shared" si="8"/>
        <v>N/A</v>
      </c>
      <c r="CD38" s="82"/>
      <c r="CE38" s="82" t="str">
        <f t="shared" si="9"/>
        <v>N/A</v>
      </c>
      <c r="CF38" s="82"/>
      <c r="CG38" s="82" t="str">
        <f t="shared" si="10"/>
        <v>N/A</v>
      </c>
      <c r="CH38" s="82"/>
      <c r="CI38" s="82" t="str">
        <f t="shared" si="11"/>
        <v>N/A</v>
      </c>
      <c r="CJ38" s="82"/>
      <c r="CK38" s="82" t="str">
        <f t="shared" si="12"/>
        <v>N/A</v>
      </c>
      <c r="CL38" s="82"/>
      <c r="CM38" s="82" t="str">
        <f t="shared" si="13"/>
        <v>N/A</v>
      </c>
      <c r="CN38" s="82"/>
      <c r="CO38" s="82" t="str">
        <f t="shared" si="14"/>
        <v>N/A</v>
      </c>
      <c r="CP38" s="82"/>
      <c r="CQ38" s="82" t="str">
        <f t="shared" si="0"/>
        <v>N/A</v>
      </c>
      <c r="CR38" s="82"/>
      <c r="CS38" s="82" t="str">
        <f t="shared" si="15"/>
        <v>N/A</v>
      </c>
      <c r="CT38" s="82"/>
      <c r="CU38" s="82" t="str">
        <f t="shared" si="16"/>
        <v>N/A</v>
      </c>
      <c r="CV38" s="82"/>
      <c r="CW38" s="82" t="str">
        <f t="shared" si="27"/>
        <v>N/A</v>
      </c>
      <c r="CX38" s="82"/>
      <c r="CY38" s="82" t="str">
        <f t="shared" si="28"/>
        <v>N/A</v>
      </c>
      <c r="CZ38" s="82"/>
      <c r="DA38" s="82" t="str">
        <f t="shared" si="1"/>
        <v>N/A</v>
      </c>
      <c r="DB38" s="82"/>
    </row>
    <row r="39" spans="3:105" ht="13.5" customHeight="1">
      <c r="C39" s="365" t="s">
        <v>547</v>
      </c>
      <c r="D39" s="274"/>
      <c r="E39" s="404"/>
      <c r="F39" s="405"/>
      <c r="BD39" s="376" t="s">
        <v>569</v>
      </c>
      <c r="BE39" s="612"/>
      <c r="BF39" s="612"/>
      <c r="BG39" s="612"/>
      <c r="BH39" s="612"/>
      <c r="BI39" s="612"/>
      <c r="BJ39" s="612"/>
      <c r="BK39" s="612"/>
      <c r="BL39" s="612"/>
      <c r="BM39" s="612"/>
      <c r="BN39" s="612"/>
      <c r="BO39" s="612"/>
      <c r="BP39" s="612"/>
      <c r="BQ39" s="612"/>
      <c r="BR39" s="612"/>
      <c r="BS39" s="612"/>
      <c r="BT39" s="612"/>
      <c r="BU39" s="612"/>
      <c r="BV39" s="612"/>
      <c r="BW39" s="612"/>
      <c r="BX39" s="612"/>
      <c r="BY39" s="612"/>
      <c r="BZ39" s="612"/>
      <c r="CA39" s="612"/>
      <c r="CB39" s="612"/>
      <c r="CC39" s="612"/>
      <c r="CD39" s="612"/>
      <c r="CE39" s="612"/>
      <c r="CF39" s="612"/>
      <c r="CG39" s="612"/>
      <c r="CH39" s="612"/>
      <c r="CI39" s="612"/>
      <c r="CJ39" s="612"/>
      <c r="CK39" s="612"/>
      <c r="CL39" s="612"/>
      <c r="CM39" s="612"/>
      <c r="CN39" s="612"/>
      <c r="CO39" s="612"/>
      <c r="CP39" s="612"/>
      <c r="CQ39" s="612"/>
      <c r="CR39" s="612"/>
      <c r="CS39" s="612"/>
      <c r="CT39" s="612"/>
      <c r="CU39" s="612"/>
      <c r="CV39" s="612"/>
      <c r="CW39" s="612"/>
      <c r="CX39" s="612"/>
      <c r="CY39" s="612"/>
      <c r="CZ39" s="612"/>
      <c r="DA39" s="612"/>
    </row>
    <row r="40" spans="3:106" ht="24.75" customHeight="1">
      <c r="C40" s="289" t="s">
        <v>466</v>
      </c>
      <c r="D40" s="788" t="s">
        <v>314</v>
      </c>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788"/>
      <c r="AR40" s="788"/>
      <c r="AS40" s="788"/>
      <c r="AT40" s="788"/>
      <c r="AU40" s="788"/>
      <c r="AV40" s="788"/>
      <c r="AW40" s="788"/>
      <c r="AX40" s="788"/>
      <c r="AY40" s="788"/>
      <c r="AZ40" s="788"/>
      <c r="BA40" s="788"/>
      <c r="BB40" s="788"/>
      <c r="BD40" s="226" t="s">
        <v>545</v>
      </c>
      <c r="BE40" s="226" t="s">
        <v>546</v>
      </c>
      <c r="BF40" s="226" t="s">
        <v>548</v>
      </c>
      <c r="BG40" s="617">
        <v>1990</v>
      </c>
      <c r="BH40" s="618"/>
      <c r="BI40" s="617">
        <v>1995</v>
      </c>
      <c r="BJ40" s="618"/>
      <c r="BK40" s="617">
        <v>1996</v>
      </c>
      <c r="BL40" s="618"/>
      <c r="BM40" s="617">
        <v>1997</v>
      </c>
      <c r="BN40" s="618"/>
      <c r="BO40" s="617">
        <v>1998</v>
      </c>
      <c r="BP40" s="618"/>
      <c r="BQ40" s="617">
        <v>1999</v>
      </c>
      <c r="BR40" s="618"/>
      <c r="BS40" s="617">
        <v>2000</v>
      </c>
      <c r="BT40" s="618"/>
      <c r="BU40" s="617">
        <v>2001</v>
      </c>
      <c r="BV40" s="618"/>
      <c r="BW40" s="617">
        <v>2002</v>
      </c>
      <c r="BX40" s="618"/>
      <c r="BY40" s="617">
        <v>2003</v>
      </c>
      <c r="BZ40" s="618"/>
      <c r="CA40" s="617">
        <v>2004</v>
      </c>
      <c r="CB40" s="618"/>
      <c r="CC40" s="617">
        <v>2005</v>
      </c>
      <c r="CD40" s="618"/>
      <c r="CE40" s="617">
        <v>2006</v>
      </c>
      <c r="CF40" s="618"/>
      <c r="CG40" s="617">
        <v>2007</v>
      </c>
      <c r="CH40" s="618"/>
      <c r="CI40" s="617">
        <v>2008</v>
      </c>
      <c r="CJ40" s="618"/>
      <c r="CK40" s="617">
        <v>2009</v>
      </c>
      <c r="CL40" s="618"/>
      <c r="CM40" s="617">
        <v>2010</v>
      </c>
      <c r="CN40" s="618"/>
      <c r="CO40" s="617">
        <v>2011</v>
      </c>
      <c r="CP40" s="619"/>
      <c r="CQ40" s="617">
        <v>2012</v>
      </c>
      <c r="CR40" s="618"/>
      <c r="CS40" s="617">
        <v>2013</v>
      </c>
      <c r="CT40" s="618"/>
      <c r="CU40" s="617">
        <v>2014</v>
      </c>
      <c r="CV40" s="619"/>
      <c r="CW40" s="617">
        <v>2015</v>
      </c>
      <c r="CX40" s="618"/>
      <c r="CY40" s="617">
        <v>2016</v>
      </c>
      <c r="CZ40" s="619"/>
      <c r="DA40" s="617">
        <v>2017</v>
      </c>
      <c r="DB40" s="227"/>
    </row>
    <row r="41" spans="3:106" ht="15" customHeight="1">
      <c r="C41" s="289" t="s">
        <v>466</v>
      </c>
      <c r="D41" s="788" t="s">
        <v>315</v>
      </c>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8"/>
      <c r="AU41" s="788"/>
      <c r="AV41" s="788"/>
      <c r="AW41" s="788"/>
      <c r="AX41" s="788"/>
      <c r="AY41" s="788"/>
      <c r="AZ41" s="788"/>
      <c r="BA41" s="788"/>
      <c r="BB41" s="788"/>
      <c r="BD41" s="386"/>
      <c r="BE41" s="406" t="s">
        <v>403</v>
      </c>
      <c r="BF41" s="386"/>
      <c r="BG41" s="85"/>
      <c r="BH41" s="249"/>
      <c r="BI41" s="85"/>
      <c r="BJ41" s="249"/>
      <c r="BK41" s="85"/>
      <c r="BL41" s="249"/>
      <c r="BM41" s="85"/>
      <c r="BN41" s="249"/>
      <c r="BO41" s="85"/>
      <c r="BP41" s="249"/>
      <c r="BQ41" s="85"/>
      <c r="BR41" s="249"/>
      <c r="BS41" s="85"/>
      <c r="BT41" s="249"/>
      <c r="BU41" s="85"/>
      <c r="BV41" s="249"/>
      <c r="BW41" s="84"/>
      <c r="BX41" s="249"/>
      <c r="BY41" s="84"/>
      <c r="BZ41" s="249"/>
      <c r="CA41" s="84"/>
      <c r="CB41" s="249"/>
      <c r="CC41" s="84"/>
      <c r="CD41" s="249"/>
      <c r="CE41" s="84"/>
      <c r="CF41" s="249"/>
      <c r="CG41" s="84"/>
      <c r="CH41" s="249"/>
      <c r="CI41" s="85"/>
      <c r="CJ41" s="249"/>
      <c r="CK41" s="84"/>
      <c r="CL41" s="249"/>
      <c r="CM41" s="84"/>
      <c r="CN41" s="249"/>
      <c r="CO41" s="84"/>
      <c r="CP41" s="249"/>
      <c r="CQ41" s="84"/>
      <c r="CR41" s="249"/>
      <c r="CS41" s="84"/>
      <c r="CT41" s="249"/>
      <c r="CU41" s="84"/>
      <c r="CV41" s="249"/>
      <c r="CW41" s="84"/>
      <c r="CX41" s="249"/>
      <c r="CY41" s="84"/>
      <c r="CZ41" s="249"/>
      <c r="DA41" s="84"/>
      <c r="DB41" s="249"/>
    </row>
    <row r="42" spans="1:120" s="193" customFormat="1" ht="24.75" customHeight="1">
      <c r="A42" s="291"/>
      <c r="B42" s="291"/>
      <c r="C42" s="289" t="s">
        <v>466</v>
      </c>
      <c r="D42" s="782" t="s">
        <v>185</v>
      </c>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2"/>
      <c r="AY42" s="782"/>
      <c r="AZ42" s="782"/>
      <c r="BA42" s="782"/>
      <c r="BB42" s="782"/>
      <c r="BC42" s="407"/>
      <c r="BD42" s="408">
        <v>3</v>
      </c>
      <c r="BE42" s="574" t="s">
        <v>459</v>
      </c>
      <c r="BF42" s="100" t="s">
        <v>444</v>
      </c>
      <c r="BG42" s="82">
        <f>F10</f>
        <v>0</v>
      </c>
      <c r="BH42" s="82"/>
      <c r="BI42" s="82">
        <f aca="true" t="shared" si="29" ref="BI42:DA42">H10</f>
        <v>0</v>
      </c>
      <c r="BJ42" s="82"/>
      <c r="BK42" s="82">
        <f t="shared" si="29"/>
        <v>0</v>
      </c>
      <c r="BL42" s="82"/>
      <c r="BM42" s="82">
        <f t="shared" si="29"/>
        <v>0</v>
      </c>
      <c r="BN42" s="82"/>
      <c r="BO42" s="82">
        <f t="shared" si="29"/>
        <v>0</v>
      </c>
      <c r="BP42" s="82"/>
      <c r="BQ42" s="82">
        <f t="shared" si="29"/>
        <v>0</v>
      </c>
      <c r="BR42" s="82"/>
      <c r="BS42" s="82">
        <f t="shared" si="29"/>
        <v>0</v>
      </c>
      <c r="BT42" s="82"/>
      <c r="BU42" s="82">
        <f t="shared" si="29"/>
        <v>0</v>
      </c>
      <c r="BV42" s="82"/>
      <c r="BW42" s="82">
        <f t="shared" si="29"/>
        <v>0</v>
      </c>
      <c r="BX42" s="82"/>
      <c r="BY42" s="82">
        <f t="shared" si="29"/>
        <v>0</v>
      </c>
      <c r="BZ42" s="82"/>
      <c r="CA42" s="82">
        <f t="shared" si="29"/>
        <v>0</v>
      </c>
      <c r="CB42" s="82"/>
      <c r="CC42" s="82">
        <f t="shared" si="29"/>
        <v>0</v>
      </c>
      <c r="CD42" s="82"/>
      <c r="CE42" s="82">
        <f t="shared" si="29"/>
        <v>0</v>
      </c>
      <c r="CF42" s="82"/>
      <c r="CG42" s="82">
        <f t="shared" si="29"/>
        <v>0</v>
      </c>
      <c r="CH42" s="82"/>
      <c r="CI42" s="82">
        <f t="shared" si="29"/>
        <v>0</v>
      </c>
      <c r="CJ42" s="82"/>
      <c r="CK42" s="82">
        <f t="shared" si="29"/>
        <v>0</v>
      </c>
      <c r="CL42" s="82"/>
      <c r="CM42" s="82">
        <f t="shared" si="29"/>
        <v>0</v>
      </c>
      <c r="CN42" s="82"/>
      <c r="CO42" s="82">
        <f t="shared" si="29"/>
        <v>0</v>
      </c>
      <c r="CP42" s="82"/>
      <c r="CQ42" s="82">
        <f t="shared" si="29"/>
        <v>0</v>
      </c>
      <c r="CR42" s="82"/>
      <c r="CS42" s="82">
        <f t="shared" si="29"/>
        <v>0</v>
      </c>
      <c r="CT42" s="82"/>
      <c r="CU42" s="82">
        <f t="shared" si="29"/>
        <v>0</v>
      </c>
      <c r="CV42" s="82"/>
      <c r="CW42" s="82">
        <f t="shared" si="29"/>
        <v>0</v>
      </c>
      <c r="CX42" s="82"/>
      <c r="CY42" s="82">
        <f t="shared" si="29"/>
        <v>0</v>
      </c>
      <c r="CZ42" s="82"/>
      <c r="DA42" s="82">
        <f t="shared" si="29"/>
        <v>0</v>
      </c>
      <c r="DB42" s="244"/>
      <c r="DC42" s="292"/>
      <c r="DD42" s="292"/>
      <c r="DE42" s="292"/>
      <c r="DF42" s="292"/>
      <c r="DG42" s="292"/>
      <c r="DH42" s="292"/>
      <c r="DI42" s="292"/>
      <c r="DJ42" s="292"/>
      <c r="DK42" s="292"/>
      <c r="DL42" s="292"/>
      <c r="DM42" s="292"/>
      <c r="DN42" s="292"/>
      <c r="DO42" s="292"/>
      <c r="DP42" s="292"/>
    </row>
    <row r="43" spans="1:120" s="193" customFormat="1" ht="25.5" customHeight="1">
      <c r="A43" s="291"/>
      <c r="B43" s="291"/>
      <c r="C43" s="289" t="s">
        <v>466</v>
      </c>
      <c r="D43" s="788" t="s">
        <v>501</v>
      </c>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788"/>
      <c r="AY43" s="788"/>
      <c r="AZ43" s="788"/>
      <c r="BA43" s="788"/>
      <c r="BB43" s="788"/>
      <c r="BC43" s="407"/>
      <c r="BD43" s="315">
        <v>30</v>
      </c>
      <c r="BE43" s="409" t="s">
        <v>526</v>
      </c>
      <c r="BF43" s="100" t="s">
        <v>444</v>
      </c>
      <c r="BG43" s="85">
        <f>F8+F9</f>
        <v>0</v>
      </c>
      <c r="BH43" s="85"/>
      <c r="BI43" s="85">
        <f aca="true" t="shared" si="30" ref="BI43:DA43">H8+H9</f>
        <v>0</v>
      </c>
      <c r="BJ43" s="85"/>
      <c r="BK43" s="85">
        <f t="shared" si="30"/>
        <v>0</v>
      </c>
      <c r="BL43" s="85"/>
      <c r="BM43" s="85">
        <f t="shared" si="30"/>
        <v>0</v>
      </c>
      <c r="BN43" s="85"/>
      <c r="BO43" s="85">
        <f t="shared" si="30"/>
        <v>0</v>
      </c>
      <c r="BP43" s="85"/>
      <c r="BQ43" s="85">
        <f t="shared" si="30"/>
        <v>0</v>
      </c>
      <c r="BR43" s="85"/>
      <c r="BS43" s="85">
        <f t="shared" si="30"/>
        <v>0</v>
      </c>
      <c r="BT43" s="85"/>
      <c r="BU43" s="85">
        <f t="shared" si="30"/>
        <v>0</v>
      </c>
      <c r="BV43" s="85"/>
      <c r="BW43" s="85">
        <f t="shared" si="30"/>
        <v>0</v>
      </c>
      <c r="BX43" s="85"/>
      <c r="BY43" s="85">
        <f t="shared" si="30"/>
        <v>0</v>
      </c>
      <c r="BZ43" s="85"/>
      <c r="CA43" s="85">
        <f t="shared" si="30"/>
        <v>0</v>
      </c>
      <c r="CB43" s="85"/>
      <c r="CC43" s="85">
        <f t="shared" si="30"/>
        <v>0</v>
      </c>
      <c r="CD43" s="85"/>
      <c r="CE43" s="85">
        <f t="shared" si="30"/>
        <v>0</v>
      </c>
      <c r="CF43" s="85"/>
      <c r="CG43" s="85">
        <f t="shared" si="30"/>
        <v>0</v>
      </c>
      <c r="CH43" s="85"/>
      <c r="CI43" s="85">
        <f t="shared" si="30"/>
        <v>0</v>
      </c>
      <c r="CJ43" s="85"/>
      <c r="CK43" s="85">
        <f t="shared" si="30"/>
        <v>0</v>
      </c>
      <c r="CL43" s="85"/>
      <c r="CM43" s="85">
        <f t="shared" si="30"/>
        <v>0</v>
      </c>
      <c r="CN43" s="85"/>
      <c r="CO43" s="85">
        <f t="shared" si="30"/>
        <v>0</v>
      </c>
      <c r="CP43" s="85"/>
      <c r="CQ43" s="85">
        <f t="shared" si="30"/>
        <v>0</v>
      </c>
      <c r="CR43" s="85"/>
      <c r="CS43" s="85">
        <f t="shared" si="30"/>
        <v>0</v>
      </c>
      <c r="CT43" s="85"/>
      <c r="CU43" s="85">
        <f t="shared" si="30"/>
        <v>0</v>
      </c>
      <c r="CV43" s="85"/>
      <c r="CW43" s="85">
        <f t="shared" si="30"/>
        <v>0</v>
      </c>
      <c r="CX43" s="85"/>
      <c r="CY43" s="85">
        <f t="shared" si="30"/>
        <v>0</v>
      </c>
      <c r="CZ43" s="85"/>
      <c r="DA43" s="85">
        <f t="shared" si="30"/>
        <v>0</v>
      </c>
      <c r="DB43" s="249"/>
      <c r="DC43" s="292"/>
      <c r="DD43" s="292"/>
      <c r="DE43" s="292"/>
      <c r="DF43" s="292"/>
      <c r="DG43" s="292"/>
      <c r="DH43" s="292"/>
      <c r="DI43" s="292"/>
      <c r="DJ43" s="292"/>
      <c r="DK43" s="292"/>
      <c r="DL43" s="292"/>
      <c r="DM43" s="292"/>
      <c r="DN43" s="292"/>
      <c r="DO43" s="292"/>
      <c r="DP43" s="292"/>
    </row>
    <row r="44" spans="1:120" s="193" customFormat="1" ht="21.75" customHeight="1">
      <c r="A44" s="291"/>
      <c r="B44" s="291"/>
      <c r="C44" s="289"/>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833"/>
      <c r="AZ44" s="833"/>
      <c r="BA44" s="833"/>
      <c r="BB44" s="833"/>
      <c r="BC44" s="407"/>
      <c r="BD44" s="300" t="s">
        <v>469</v>
      </c>
      <c r="BE44" s="409" t="s">
        <v>656</v>
      </c>
      <c r="BF44" s="100"/>
      <c r="BG44" s="82" t="str">
        <f>IF(OR(ISBLANK(F8),ISBLANK(F9),ISBLANK(F10)),"N/A",IF((BG42=BG43),"ok","&lt;&gt;"))</f>
        <v>N/A</v>
      </c>
      <c r="BH44" s="82"/>
      <c r="BI44" s="82" t="str">
        <f aca="true" t="shared" si="31" ref="BI44:DA44">IF(OR(ISBLANK(H8),ISBLANK(H9),ISBLANK(H10)),"N/A",IF((BI42=BI43),"ok","&lt;&gt;"))</f>
        <v>N/A</v>
      </c>
      <c r="BJ44" s="82"/>
      <c r="BK44" s="82" t="str">
        <f t="shared" si="31"/>
        <v>N/A</v>
      </c>
      <c r="BL44" s="82"/>
      <c r="BM44" s="82" t="str">
        <f t="shared" si="31"/>
        <v>N/A</v>
      </c>
      <c r="BN44" s="82"/>
      <c r="BO44" s="82" t="str">
        <f t="shared" si="31"/>
        <v>N/A</v>
      </c>
      <c r="BP44" s="82"/>
      <c r="BQ44" s="82" t="str">
        <f t="shared" si="31"/>
        <v>N/A</v>
      </c>
      <c r="BR44" s="82"/>
      <c r="BS44" s="82" t="str">
        <f t="shared" si="31"/>
        <v>N/A</v>
      </c>
      <c r="BT44" s="82"/>
      <c r="BU44" s="82" t="str">
        <f t="shared" si="31"/>
        <v>N/A</v>
      </c>
      <c r="BV44" s="82"/>
      <c r="BW44" s="82" t="str">
        <f t="shared" si="31"/>
        <v>N/A</v>
      </c>
      <c r="BX44" s="82"/>
      <c r="BY44" s="82" t="str">
        <f t="shared" si="31"/>
        <v>N/A</v>
      </c>
      <c r="BZ44" s="82"/>
      <c r="CA44" s="82" t="str">
        <f t="shared" si="31"/>
        <v>N/A</v>
      </c>
      <c r="CB44" s="82"/>
      <c r="CC44" s="82" t="str">
        <f t="shared" si="31"/>
        <v>N/A</v>
      </c>
      <c r="CD44" s="82"/>
      <c r="CE44" s="82" t="str">
        <f t="shared" si="31"/>
        <v>N/A</v>
      </c>
      <c r="CF44" s="82"/>
      <c r="CG44" s="82" t="str">
        <f t="shared" si="31"/>
        <v>N/A</v>
      </c>
      <c r="CH44" s="82"/>
      <c r="CI44" s="82" t="str">
        <f t="shared" si="31"/>
        <v>N/A</v>
      </c>
      <c r="CJ44" s="82"/>
      <c r="CK44" s="82" t="str">
        <f t="shared" si="31"/>
        <v>N/A</v>
      </c>
      <c r="CL44" s="82"/>
      <c r="CM44" s="82" t="str">
        <f t="shared" si="31"/>
        <v>N/A</v>
      </c>
      <c r="CN44" s="82"/>
      <c r="CO44" s="82" t="str">
        <f t="shared" si="31"/>
        <v>N/A</v>
      </c>
      <c r="CP44" s="82"/>
      <c r="CQ44" s="82" t="str">
        <f t="shared" si="31"/>
        <v>N/A</v>
      </c>
      <c r="CR44" s="82"/>
      <c r="CS44" s="82" t="str">
        <f t="shared" si="31"/>
        <v>N/A</v>
      </c>
      <c r="CT44" s="82"/>
      <c r="CU44" s="82" t="str">
        <f t="shared" si="31"/>
        <v>N/A</v>
      </c>
      <c r="CV44" s="82"/>
      <c r="CW44" s="82" t="str">
        <f t="shared" si="31"/>
        <v>N/A</v>
      </c>
      <c r="CX44" s="82"/>
      <c r="CY44" s="82" t="str">
        <f t="shared" si="31"/>
        <v>N/A</v>
      </c>
      <c r="CZ44" s="82"/>
      <c r="DA44" s="82" t="str">
        <f t="shared" si="31"/>
        <v>N/A</v>
      </c>
      <c r="DB44" s="244"/>
      <c r="DC44" s="292"/>
      <c r="DD44" s="292"/>
      <c r="DE44" s="292"/>
      <c r="DF44" s="292"/>
      <c r="DG44" s="292"/>
      <c r="DH44" s="292"/>
      <c r="DI44" s="292"/>
      <c r="DJ44" s="292"/>
      <c r="DK44" s="292"/>
      <c r="DL44" s="292"/>
      <c r="DM44" s="292"/>
      <c r="DN44" s="292"/>
      <c r="DO44" s="292"/>
      <c r="DP44" s="292"/>
    </row>
    <row r="45" spans="1:106" s="212" customFormat="1" ht="26.25" customHeight="1">
      <c r="A45" s="209"/>
      <c r="B45" s="180"/>
      <c r="C45" s="659"/>
      <c r="D45" s="307"/>
      <c r="E45" s="810" t="str">
        <f>LEFT(D10,LEN(D10)-7)&amp;" (W2,3)"</f>
        <v>Volume d’eau douce prélevé (W2,3)</v>
      </c>
      <c r="F45" s="779"/>
      <c r="G45" s="779"/>
      <c r="H45" s="780"/>
      <c r="I45" s="302"/>
      <c r="J45" s="302"/>
      <c r="K45" s="302"/>
      <c r="L45" s="302"/>
      <c r="M45" s="302"/>
      <c r="N45" s="302"/>
      <c r="O45" s="302"/>
      <c r="P45" s="302"/>
      <c r="Q45" s="302"/>
      <c r="R45" s="302"/>
      <c r="S45" s="302"/>
      <c r="T45" s="302"/>
      <c r="U45" s="302"/>
      <c r="V45" s="302"/>
      <c r="W45" s="302"/>
      <c r="X45" s="302"/>
      <c r="Y45" s="302"/>
      <c r="Z45" s="302"/>
      <c r="AA45" s="302"/>
      <c r="AB45" s="302"/>
      <c r="AC45" s="307"/>
      <c r="AD45" s="307"/>
      <c r="AE45" s="563"/>
      <c r="AF45" s="563"/>
      <c r="AG45" s="563"/>
      <c r="AH45" s="563"/>
      <c r="AI45" s="563"/>
      <c r="AJ45" s="563"/>
      <c r="AK45" s="563"/>
      <c r="AL45" s="563"/>
      <c r="AM45" s="563"/>
      <c r="AN45" s="563"/>
      <c r="AO45" s="563"/>
      <c r="AP45" s="563"/>
      <c r="AQ45" s="302"/>
      <c r="AR45" s="302"/>
      <c r="AS45" s="302"/>
      <c r="AT45" s="302"/>
      <c r="AU45" s="302"/>
      <c r="AV45" s="302"/>
      <c r="AW45" s="302"/>
      <c r="AX45" s="302"/>
      <c r="AY45" s="302"/>
      <c r="AZ45" s="302"/>
      <c r="BA45" s="563"/>
      <c r="BB45" s="218"/>
      <c r="BC45" s="213"/>
      <c r="BD45" s="386">
        <v>18</v>
      </c>
      <c r="BE45" s="387" t="s">
        <v>650</v>
      </c>
      <c r="BF45" s="100" t="s">
        <v>444</v>
      </c>
      <c r="BG45" s="85">
        <f>F26</f>
        <v>0</v>
      </c>
      <c r="BH45" s="85"/>
      <c r="BI45" s="85">
        <f aca="true" t="shared" si="32" ref="BI45:DA45">H26</f>
        <v>0</v>
      </c>
      <c r="BJ45" s="85"/>
      <c r="BK45" s="85">
        <f t="shared" si="32"/>
        <v>0</v>
      </c>
      <c r="BL45" s="85"/>
      <c r="BM45" s="85">
        <f t="shared" si="32"/>
        <v>0</v>
      </c>
      <c r="BN45" s="85"/>
      <c r="BO45" s="85">
        <f t="shared" si="32"/>
        <v>0</v>
      </c>
      <c r="BP45" s="85"/>
      <c r="BQ45" s="85">
        <f t="shared" si="32"/>
        <v>0</v>
      </c>
      <c r="BR45" s="85"/>
      <c r="BS45" s="85">
        <f t="shared" si="32"/>
        <v>0</v>
      </c>
      <c r="BT45" s="85"/>
      <c r="BU45" s="85">
        <f t="shared" si="32"/>
        <v>0</v>
      </c>
      <c r="BV45" s="85"/>
      <c r="BW45" s="85">
        <f t="shared" si="32"/>
        <v>0</v>
      </c>
      <c r="BX45" s="85"/>
      <c r="BY45" s="85">
        <f t="shared" si="32"/>
        <v>0</v>
      </c>
      <c r="BZ45" s="85"/>
      <c r="CA45" s="85">
        <f t="shared" si="32"/>
        <v>0</v>
      </c>
      <c r="CB45" s="85"/>
      <c r="CC45" s="85">
        <f t="shared" si="32"/>
        <v>0</v>
      </c>
      <c r="CD45" s="85"/>
      <c r="CE45" s="85">
        <f t="shared" si="32"/>
        <v>0</v>
      </c>
      <c r="CF45" s="85"/>
      <c r="CG45" s="85">
        <f t="shared" si="32"/>
        <v>0</v>
      </c>
      <c r="CH45" s="85"/>
      <c r="CI45" s="85">
        <f t="shared" si="32"/>
        <v>0</v>
      </c>
      <c r="CJ45" s="85"/>
      <c r="CK45" s="85">
        <f t="shared" si="32"/>
        <v>0</v>
      </c>
      <c r="CL45" s="85"/>
      <c r="CM45" s="85">
        <f t="shared" si="32"/>
        <v>0</v>
      </c>
      <c r="CN45" s="85"/>
      <c r="CO45" s="85">
        <f t="shared" si="32"/>
        <v>0</v>
      </c>
      <c r="CP45" s="85"/>
      <c r="CQ45" s="85">
        <f t="shared" si="32"/>
        <v>0</v>
      </c>
      <c r="CR45" s="85"/>
      <c r="CS45" s="85">
        <f t="shared" si="32"/>
        <v>0</v>
      </c>
      <c r="CT45" s="85"/>
      <c r="CU45" s="85">
        <f t="shared" si="32"/>
        <v>0</v>
      </c>
      <c r="CV45" s="85"/>
      <c r="CW45" s="85">
        <f t="shared" si="32"/>
        <v>0</v>
      </c>
      <c r="CX45" s="85"/>
      <c r="CY45" s="85">
        <f t="shared" si="32"/>
        <v>0</v>
      </c>
      <c r="CZ45" s="85"/>
      <c r="DA45" s="85">
        <f t="shared" si="32"/>
        <v>0</v>
      </c>
      <c r="DB45" s="249"/>
    </row>
    <row r="46" spans="3:106" ht="19.5" customHeight="1">
      <c r="C46" s="659"/>
      <c r="D46" s="564" t="str">
        <f>D11</f>
        <v>Dont prélevés par :</v>
      </c>
      <c r="E46" s="565"/>
      <c r="F46" s="302"/>
      <c r="G46" s="302"/>
      <c r="H46" s="302"/>
      <c r="I46" s="302"/>
      <c r="J46" s="302"/>
      <c r="K46" s="302"/>
      <c r="L46" s="302"/>
      <c r="M46" s="302"/>
      <c r="N46" s="302"/>
      <c r="O46" s="302"/>
      <c r="P46" s="302"/>
      <c r="Q46" s="302"/>
      <c r="R46" s="302"/>
      <c r="S46" s="302"/>
      <c r="T46" s="302"/>
      <c r="U46" s="302"/>
      <c r="V46" s="302"/>
      <c r="W46" s="302"/>
      <c r="X46" s="302"/>
      <c r="Y46" s="302"/>
      <c r="Z46" s="302"/>
      <c r="AK46" s="563"/>
      <c r="AL46" s="563"/>
      <c r="AM46" s="563"/>
      <c r="AN46" s="563"/>
      <c r="AO46" s="563"/>
      <c r="AP46" s="567"/>
      <c r="AQ46" s="625"/>
      <c r="AR46" s="625"/>
      <c r="AS46" s="625"/>
      <c r="AT46" s="625"/>
      <c r="AU46" s="625"/>
      <c r="AV46" s="625"/>
      <c r="AW46" s="625"/>
      <c r="AX46" s="625"/>
      <c r="AY46" s="625"/>
      <c r="AZ46" s="625"/>
      <c r="BA46" s="626"/>
      <c r="BB46" s="629"/>
      <c r="BD46" s="315">
        <v>31</v>
      </c>
      <c r="BE46" s="409" t="s">
        <v>657</v>
      </c>
      <c r="BF46" s="100" t="s">
        <v>444</v>
      </c>
      <c r="BG46" s="85">
        <f>F10+F22+F23+F24-F25</f>
        <v>0</v>
      </c>
      <c r="BH46" s="85"/>
      <c r="BI46" s="85">
        <f aca="true" t="shared" si="33" ref="BI46:DA46">H10+H22+H23+H24-H25</f>
        <v>0</v>
      </c>
      <c r="BJ46" s="85"/>
      <c r="BK46" s="85">
        <f t="shared" si="33"/>
        <v>0</v>
      </c>
      <c r="BL46" s="85"/>
      <c r="BM46" s="85">
        <f t="shared" si="33"/>
        <v>0</v>
      </c>
      <c r="BN46" s="85"/>
      <c r="BO46" s="85">
        <f t="shared" si="33"/>
        <v>0</v>
      </c>
      <c r="BP46" s="85"/>
      <c r="BQ46" s="85">
        <f t="shared" si="33"/>
        <v>0</v>
      </c>
      <c r="BR46" s="85"/>
      <c r="BS46" s="85">
        <f t="shared" si="33"/>
        <v>0</v>
      </c>
      <c r="BT46" s="85"/>
      <c r="BU46" s="85">
        <f t="shared" si="33"/>
        <v>0</v>
      </c>
      <c r="BV46" s="85"/>
      <c r="BW46" s="85">
        <f t="shared" si="33"/>
        <v>0</v>
      </c>
      <c r="BX46" s="85"/>
      <c r="BY46" s="85">
        <f t="shared" si="33"/>
        <v>0</v>
      </c>
      <c r="BZ46" s="85"/>
      <c r="CA46" s="85">
        <f t="shared" si="33"/>
        <v>0</v>
      </c>
      <c r="CB46" s="85"/>
      <c r="CC46" s="85">
        <f t="shared" si="33"/>
        <v>0</v>
      </c>
      <c r="CD46" s="85"/>
      <c r="CE46" s="85">
        <f t="shared" si="33"/>
        <v>0</v>
      </c>
      <c r="CF46" s="85"/>
      <c r="CG46" s="85">
        <f t="shared" si="33"/>
        <v>0</v>
      </c>
      <c r="CH46" s="85"/>
      <c r="CI46" s="85">
        <f t="shared" si="33"/>
        <v>0</v>
      </c>
      <c r="CJ46" s="85"/>
      <c r="CK46" s="85">
        <f t="shared" si="33"/>
        <v>0</v>
      </c>
      <c r="CL46" s="85"/>
      <c r="CM46" s="85">
        <f t="shared" si="33"/>
        <v>0</v>
      </c>
      <c r="CN46" s="85"/>
      <c r="CO46" s="85">
        <f t="shared" si="33"/>
        <v>0</v>
      </c>
      <c r="CP46" s="85"/>
      <c r="CQ46" s="85">
        <f t="shared" si="33"/>
        <v>0</v>
      </c>
      <c r="CR46" s="85"/>
      <c r="CS46" s="85">
        <f t="shared" si="33"/>
        <v>0</v>
      </c>
      <c r="CT46" s="85"/>
      <c r="CU46" s="85">
        <f t="shared" si="33"/>
        <v>0</v>
      </c>
      <c r="CV46" s="85"/>
      <c r="CW46" s="85">
        <f t="shared" si="33"/>
        <v>0</v>
      </c>
      <c r="CX46" s="85"/>
      <c r="CY46" s="85">
        <f t="shared" si="33"/>
        <v>0</v>
      </c>
      <c r="CZ46" s="85"/>
      <c r="DA46" s="85">
        <f t="shared" si="33"/>
        <v>0</v>
      </c>
      <c r="DB46" s="244"/>
    </row>
    <row r="47" spans="3:106" ht="25.5" customHeight="1">
      <c r="C47" s="659"/>
      <c r="D47" s="568" t="str">
        <f>D12&amp;" (W2,4)"</f>
        <v>Services d’alimentation en eau (division 36 de la CITI) (W2,4)</v>
      </c>
      <c r="E47" s="569"/>
      <c r="F47" s="813" t="str">
        <f>D22&amp;" (W2,14)"</f>
        <v>Eau dessalée (W2,14)</v>
      </c>
      <c r="G47" s="814"/>
      <c r="H47" s="815"/>
      <c r="I47" s="563"/>
      <c r="J47" s="563"/>
      <c r="K47" s="563"/>
      <c r="L47" s="563"/>
      <c r="M47" s="563"/>
      <c r="N47" s="563"/>
      <c r="O47" s="563"/>
      <c r="P47" s="563"/>
      <c r="Q47" s="563"/>
      <c r="R47" s="563"/>
      <c r="S47" s="563"/>
      <c r="T47" s="563"/>
      <c r="U47" s="563"/>
      <c r="V47" s="563"/>
      <c r="W47" s="563"/>
      <c r="X47" s="563"/>
      <c r="Y47" s="563"/>
      <c r="Z47" s="302"/>
      <c r="AA47" s="576"/>
      <c r="AB47" s="576"/>
      <c r="AC47" s="563"/>
      <c r="AD47" s="563"/>
      <c r="AE47" s="302"/>
      <c r="AF47" s="576"/>
      <c r="AG47" s="576"/>
      <c r="AH47" s="576"/>
      <c r="AI47" s="566"/>
      <c r="AJ47" s="566"/>
      <c r="AK47" s="789"/>
      <c r="AL47" s="825"/>
      <c r="AM47" s="825"/>
      <c r="AN47" s="563"/>
      <c r="AO47" s="563"/>
      <c r="AP47" s="563"/>
      <c r="AQ47" s="630"/>
      <c r="AR47" s="630"/>
      <c r="AS47" s="630"/>
      <c r="AT47" s="630"/>
      <c r="AU47" s="630"/>
      <c r="AV47" s="630"/>
      <c r="AW47" s="630"/>
      <c r="AX47" s="630"/>
      <c r="AY47" s="630"/>
      <c r="AZ47" s="630"/>
      <c r="BA47" s="630"/>
      <c r="BB47" s="631"/>
      <c r="BD47" s="300" t="s">
        <v>469</v>
      </c>
      <c r="BE47" s="409" t="s">
        <v>658</v>
      </c>
      <c r="BF47" s="100"/>
      <c r="BG47" s="82" t="str">
        <f>IF(OR(ISBLANK(F10),ISBLANK(F22),ISBLANK(F23),ISBLANK(F24),ISBLANK(F25),ISBLANK(F26)),"N/A",IF((BG45=BG46),"ok","&lt;&gt;"))</f>
        <v>N/A</v>
      </c>
      <c r="BH47" s="82"/>
      <c r="BI47" s="82" t="str">
        <f aca="true" t="shared" si="34" ref="BI47:DA47">IF(OR(ISBLANK(H10),ISBLANK(H22),ISBLANK(H23),ISBLANK(H24),ISBLANK(H25),ISBLANK(H26)),"N/A",IF((BI45=BI46),"ok","&lt;&gt;"))</f>
        <v>N/A</v>
      </c>
      <c r="BJ47" s="82"/>
      <c r="BK47" s="82" t="str">
        <f t="shared" si="34"/>
        <v>N/A</v>
      </c>
      <c r="BL47" s="82"/>
      <c r="BM47" s="82" t="str">
        <f t="shared" si="34"/>
        <v>N/A</v>
      </c>
      <c r="BN47" s="82"/>
      <c r="BO47" s="82" t="str">
        <f t="shared" si="34"/>
        <v>N/A</v>
      </c>
      <c r="BP47" s="82"/>
      <c r="BQ47" s="82" t="str">
        <f t="shared" si="34"/>
        <v>N/A</v>
      </c>
      <c r="BR47" s="82"/>
      <c r="BS47" s="82" t="str">
        <f t="shared" si="34"/>
        <v>N/A</v>
      </c>
      <c r="BT47" s="82"/>
      <c r="BU47" s="82" t="str">
        <f t="shared" si="34"/>
        <v>N/A</v>
      </c>
      <c r="BV47" s="82"/>
      <c r="BW47" s="82" t="str">
        <f t="shared" si="34"/>
        <v>N/A</v>
      </c>
      <c r="BX47" s="82"/>
      <c r="BY47" s="82" t="str">
        <f t="shared" si="34"/>
        <v>N/A</v>
      </c>
      <c r="BZ47" s="82"/>
      <c r="CA47" s="82" t="str">
        <f t="shared" si="34"/>
        <v>N/A</v>
      </c>
      <c r="CB47" s="82"/>
      <c r="CC47" s="82" t="str">
        <f t="shared" si="34"/>
        <v>N/A</v>
      </c>
      <c r="CD47" s="82"/>
      <c r="CE47" s="82" t="str">
        <f t="shared" si="34"/>
        <v>N/A</v>
      </c>
      <c r="CF47" s="82"/>
      <c r="CG47" s="82" t="str">
        <f t="shared" si="34"/>
        <v>N/A</v>
      </c>
      <c r="CH47" s="82"/>
      <c r="CI47" s="82" t="str">
        <f t="shared" si="34"/>
        <v>N/A</v>
      </c>
      <c r="CJ47" s="82"/>
      <c r="CK47" s="82" t="str">
        <f t="shared" si="34"/>
        <v>N/A</v>
      </c>
      <c r="CL47" s="82"/>
      <c r="CM47" s="82" t="str">
        <f t="shared" si="34"/>
        <v>N/A</v>
      </c>
      <c r="CN47" s="82"/>
      <c r="CO47" s="82" t="str">
        <f t="shared" si="34"/>
        <v>N/A</v>
      </c>
      <c r="CP47" s="82"/>
      <c r="CQ47" s="82" t="str">
        <f t="shared" si="34"/>
        <v>N/A</v>
      </c>
      <c r="CR47" s="82"/>
      <c r="CS47" s="82" t="str">
        <f t="shared" si="34"/>
        <v>N/A</v>
      </c>
      <c r="CT47" s="82"/>
      <c r="CU47" s="82" t="str">
        <f t="shared" si="34"/>
        <v>N/A</v>
      </c>
      <c r="CV47" s="82"/>
      <c r="CW47" s="82" t="str">
        <f t="shared" si="34"/>
        <v>N/A</v>
      </c>
      <c r="CX47" s="82"/>
      <c r="CY47" s="82" t="str">
        <f t="shared" si="34"/>
        <v>N/A</v>
      </c>
      <c r="CZ47" s="82"/>
      <c r="DA47" s="82" t="str">
        <f t="shared" si="34"/>
        <v>N/A</v>
      </c>
      <c r="DB47" s="249"/>
    </row>
    <row r="48" spans="2:106" ht="8.25" customHeight="1">
      <c r="B48" s="562"/>
      <c r="C48" s="550"/>
      <c r="D48" s="570"/>
      <c r="E48" s="563"/>
      <c r="F48" s="816"/>
      <c r="G48" s="817"/>
      <c r="H48" s="818"/>
      <c r="I48" s="563"/>
      <c r="J48" s="563"/>
      <c r="K48" s="563"/>
      <c r="L48" s="563"/>
      <c r="M48" s="563"/>
      <c r="N48" s="563"/>
      <c r="O48" s="563"/>
      <c r="P48" s="563"/>
      <c r="Q48" s="563"/>
      <c r="R48" s="563"/>
      <c r="S48" s="563"/>
      <c r="T48" s="563"/>
      <c r="U48" s="826" t="str">
        <f>D29</f>
        <v>Dont utilisés par :</v>
      </c>
      <c r="V48" s="827"/>
      <c r="W48" s="563"/>
      <c r="X48" s="563"/>
      <c r="Y48" s="563"/>
      <c r="Z48" s="576"/>
      <c r="AK48" s="825"/>
      <c r="AL48" s="825"/>
      <c r="AM48" s="825"/>
      <c r="AN48" s="563"/>
      <c r="AO48" s="563"/>
      <c r="AP48" s="563"/>
      <c r="AQ48" s="625"/>
      <c r="AR48" s="626"/>
      <c r="AS48" s="626"/>
      <c r="AT48" s="626"/>
      <c r="AU48" s="626"/>
      <c r="AV48" s="626"/>
      <c r="AW48" s="626"/>
      <c r="AX48" s="626"/>
      <c r="AY48" s="626"/>
      <c r="AZ48" s="626"/>
      <c r="BA48" s="626"/>
      <c r="BB48" s="629"/>
      <c r="BD48" s="386">
        <v>3</v>
      </c>
      <c r="BE48" s="574" t="s">
        <v>659</v>
      </c>
      <c r="BF48" s="100" t="s">
        <v>444</v>
      </c>
      <c r="BG48" s="82">
        <f>F10</f>
        <v>0</v>
      </c>
      <c r="BH48" s="82"/>
      <c r="BI48" s="82">
        <f aca="true" t="shared" si="35" ref="BI48:DA48">H10</f>
        <v>0</v>
      </c>
      <c r="BJ48" s="82"/>
      <c r="BK48" s="82">
        <f t="shared" si="35"/>
        <v>0</v>
      </c>
      <c r="BL48" s="82"/>
      <c r="BM48" s="82">
        <f t="shared" si="35"/>
        <v>0</v>
      </c>
      <c r="BN48" s="82"/>
      <c r="BO48" s="82">
        <f t="shared" si="35"/>
        <v>0</v>
      </c>
      <c r="BP48" s="82"/>
      <c r="BQ48" s="82">
        <f t="shared" si="35"/>
        <v>0</v>
      </c>
      <c r="BR48" s="82"/>
      <c r="BS48" s="82">
        <f t="shared" si="35"/>
        <v>0</v>
      </c>
      <c r="BT48" s="82"/>
      <c r="BU48" s="82">
        <f t="shared" si="35"/>
        <v>0</v>
      </c>
      <c r="BV48" s="82"/>
      <c r="BW48" s="82">
        <f t="shared" si="35"/>
        <v>0</v>
      </c>
      <c r="BX48" s="82"/>
      <c r="BY48" s="82">
        <f t="shared" si="35"/>
        <v>0</v>
      </c>
      <c r="BZ48" s="82"/>
      <c r="CA48" s="82">
        <f t="shared" si="35"/>
        <v>0</v>
      </c>
      <c r="CB48" s="82"/>
      <c r="CC48" s="82">
        <f t="shared" si="35"/>
        <v>0</v>
      </c>
      <c r="CD48" s="82"/>
      <c r="CE48" s="82">
        <f t="shared" si="35"/>
        <v>0</v>
      </c>
      <c r="CF48" s="82"/>
      <c r="CG48" s="82">
        <f t="shared" si="35"/>
        <v>0</v>
      </c>
      <c r="CH48" s="82"/>
      <c r="CI48" s="82">
        <f t="shared" si="35"/>
        <v>0</v>
      </c>
      <c r="CJ48" s="82"/>
      <c r="CK48" s="82">
        <f t="shared" si="35"/>
        <v>0</v>
      </c>
      <c r="CL48" s="82"/>
      <c r="CM48" s="82">
        <f t="shared" si="35"/>
        <v>0</v>
      </c>
      <c r="CN48" s="82"/>
      <c r="CO48" s="82">
        <f t="shared" si="35"/>
        <v>0</v>
      </c>
      <c r="CP48" s="82"/>
      <c r="CQ48" s="82">
        <f t="shared" si="35"/>
        <v>0</v>
      </c>
      <c r="CR48" s="82"/>
      <c r="CS48" s="82">
        <f t="shared" si="35"/>
        <v>0</v>
      </c>
      <c r="CT48" s="82"/>
      <c r="CU48" s="82">
        <f t="shared" si="35"/>
        <v>0</v>
      </c>
      <c r="CV48" s="82"/>
      <c r="CW48" s="82">
        <f t="shared" si="35"/>
        <v>0</v>
      </c>
      <c r="CX48" s="82"/>
      <c r="CY48" s="82">
        <f t="shared" si="35"/>
        <v>0</v>
      </c>
      <c r="CZ48" s="82"/>
      <c r="DA48" s="82">
        <f t="shared" si="35"/>
        <v>0</v>
      </c>
      <c r="DB48" s="244"/>
    </row>
    <row r="49" spans="2:106" ht="26.25" customHeight="1">
      <c r="B49" s="562"/>
      <c r="C49" s="550"/>
      <c r="D49" s="568" t="str">
        <f>D13&amp;" (W2,5)"</f>
        <v>Ménages (W2,5)</v>
      </c>
      <c r="E49" s="563"/>
      <c r="F49" s="563"/>
      <c r="G49" s="563"/>
      <c r="H49" s="563"/>
      <c r="I49" s="563"/>
      <c r="J49" s="563"/>
      <c r="K49" s="563"/>
      <c r="L49" s="813" t="str">
        <f>LEFT(D26,LEN(D26)-16)&amp;" (W2,18)"</f>
        <v>Quantité totale d’eau douce disponible et utilisable  (W2,18)</v>
      </c>
      <c r="M49" s="814"/>
      <c r="N49" s="815"/>
      <c r="O49" s="563"/>
      <c r="P49" s="563"/>
      <c r="Q49" s="813" t="str">
        <f>LEFT(D28,LEN(D28)-8)&amp;" (W2,20)"</f>
        <v>Quantité totale d’eau douce utilisée  (W2,20)</v>
      </c>
      <c r="R49" s="814"/>
      <c r="S49" s="815"/>
      <c r="U49" s="827"/>
      <c r="V49" s="827"/>
      <c r="W49" s="563"/>
      <c r="X49" s="563"/>
      <c r="Y49" s="563"/>
      <c r="Z49" s="576"/>
      <c r="AA49" s="810" t="str">
        <f>D30&amp;" (W2,21)"</f>
        <v>Ménages (W2,21)</v>
      </c>
      <c r="AB49" s="840"/>
      <c r="AC49" s="840"/>
      <c r="AD49" s="840"/>
      <c r="AE49" s="840"/>
      <c r="AF49" s="840"/>
      <c r="AG49" s="840"/>
      <c r="AH49" s="842"/>
      <c r="AI49" s="842"/>
      <c r="AJ49" s="843"/>
      <c r="AK49" s="825"/>
      <c r="AL49" s="825"/>
      <c r="AM49" s="825"/>
      <c r="AO49" s="620"/>
      <c r="AP49" s="563"/>
      <c r="AQ49" s="626"/>
      <c r="AR49" s="626"/>
      <c r="AS49" s="626"/>
      <c r="AT49" s="626"/>
      <c r="AU49" s="626"/>
      <c r="AV49" s="626"/>
      <c r="AW49" s="626"/>
      <c r="AX49" s="626"/>
      <c r="AY49" s="626"/>
      <c r="AZ49" s="626"/>
      <c r="BA49" s="626"/>
      <c r="BB49" s="629"/>
      <c r="BD49" s="315">
        <v>32</v>
      </c>
      <c r="BE49" s="409" t="s">
        <v>660</v>
      </c>
      <c r="BF49" s="100" t="s">
        <v>444</v>
      </c>
      <c r="BG49" s="85">
        <f>SUM(F12:F14)+SUM(F16:F18)+SUM(F20:F21)</f>
        <v>0</v>
      </c>
      <c r="BH49" s="85"/>
      <c r="BI49" s="85">
        <f aca="true" t="shared" si="36" ref="BI49:DA49">SUM(H12:H14)+SUM(H16:H18)+SUM(H20:H21)</f>
        <v>0</v>
      </c>
      <c r="BJ49" s="85"/>
      <c r="BK49" s="85">
        <f t="shared" si="36"/>
        <v>0</v>
      </c>
      <c r="BL49" s="85"/>
      <c r="BM49" s="85">
        <f t="shared" si="36"/>
        <v>0</v>
      </c>
      <c r="BN49" s="85"/>
      <c r="BO49" s="85">
        <f t="shared" si="36"/>
        <v>0</v>
      </c>
      <c r="BP49" s="85"/>
      <c r="BQ49" s="85">
        <f t="shared" si="36"/>
        <v>0</v>
      </c>
      <c r="BR49" s="85"/>
      <c r="BS49" s="85">
        <f t="shared" si="36"/>
        <v>0</v>
      </c>
      <c r="BT49" s="85"/>
      <c r="BU49" s="85">
        <f t="shared" si="36"/>
        <v>0</v>
      </c>
      <c r="BV49" s="85"/>
      <c r="BW49" s="85">
        <f t="shared" si="36"/>
        <v>0</v>
      </c>
      <c r="BX49" s="85"/>
      <c r="BY49" s="85">
        <f t="shared" si="36"/>
        <v>0</v>
      </c>
      <c r="BZ49" s="85"/>
      <c r="CA49" s="85">
        <f t="shared" si="36"/>
        <v>0</v>
      </c>
      <c r="CB49" s="85"/>
      <c r="CC49" s="85">
        <f t="shared" si="36"/>
        <v>0</v>
      </c>
      <c r="CD49" s="85"/>
      <c r="CE49" s="85">
        <f t="shared" si="36"/>
        <v>0</v>
      </c>
      <c r="CF49" s="85"/>
      <c r="CG49" s="85">
        <f t="shared" si="36"/>
        <v>0</v>
      </c>
      <c r="CH49" s="85"/>
      <c r="CI49" s="85">
        <f t="shared" si="36"/>
        <v>0</v>
      </c>
      <c r="CJ49" s="85"/>
      <c r="CK49" s="85">
        <f t="shared" si="36"/>
        <v>0</v>
      </c>
      <c r="CL49" s="85"/>
      <c r="CM49" s="85">
        <f t="shared" si="36"/>
        <v>0</v>
      </c>
      <c r="CN49" s="85"/>
      <c r="CO49" s="85">
        <f t="shared" si="36"/>
        <v>0</v>
      </c>
      <c r="CP49" s="85"/>
      <c r="CQ49" s="85">
        <f t="shared" si="36"/>
        <v>0</v>
      </c>
      <c r="CR49" s="85"/>
      <c r="CS49" s="85">
        <f t="shared" si="36"/>
        <v>0</v>
      </c>
      <c r="CT49" s="85"/>
      <c r="CU49" s="85">
        <f t="shared" si="36"/>
        <v>0</v>
      </c>
      <c r="CV49" s="85"/>
      <c r="CW49" s="85">
        <f t="shared" si="36"/>
        <v>0</v>
      </c>
      <c r="CX49" s="85"/>
      <c r="CY49" s="85">
        <f t="shared" si="36"/>
        <v>0</v>
      </c>
      <c r="CZ49" s="85"/>
      <c r="DA49" s="85">
        <f t="shared" si="36"/>
        <v>0</v>
      </c>
      <c r="DB49" s="249"/>
    </row>
    <row r="50" spans="2:106" ht="10.5" customHeight="1">
      <c r="B50" s="562"/>
      <c r="C50" s="550"/>
      <c r="D50" s="571"/>
      <c r="E50" s="563"/>
      <c r="F50" s="563"/>
      <c r="G50" s="563"/>
      <c r="H50" s="563"/>
      <c r="I50" s="563"/>
      <c r="J50" s="563"/>
      <c r="K50" s="563"/>
      <c r="L50" s="819"/>
      <c r="M50" s="820"/>
      <c r="N50" s="821"/>
      <c r="O50" s="563"/>
      <c r="P50" s="563"/>
      <c r="Q50" s="819"/>
      <c r="R50" s="820"/>
      <c r="S50" s="821"/>
      <c r="T50" s="563"/>
      <c r="U50" s="563"/>
      <c r="V50" s="563"/>
      <c r="W50" s="563"/>
      <c r="X50" s="563"/>
      <c r="Y50" s="563"/>
      <c r="Z50" s="566"/>
      <c r="AK50" s="825"/>
      <c r="AL50" s="825"/>
      <c r="AM50" s="825"/>
      <c r="AN50" s="621"/>
      <c r="AO50" s="620"/>
      <c r="AP50" s="563"/>
      <c r="AQ50" s="627"/>
      <c r="AR50" s="627"/>
      <c r="AS50" s="627"/>
      <c r="AT50" s="627"/>
      <c r="AU50" s="627"/>
      <c r="AV50" s="627"/>
      <c r="AW50" s="627"/>
      <c r="AX50" s="627"/>
      <c r="AY50" s="627"/>
      <c r="AZ50" s="627"/>
      <c r="BA50" s="627"/>
      <c r="BB50" s="632"/>
      <c r="BD50" s="300" t="s">
        <v>469</v>
      </c>
      <c r="BE50" s="409" t="s">
        <v>661</v>
      </c>
      <c r="BF50" s="100"/>
      <c r="BG50" s="82" t="str">
        <f>IF(OR(ISBLANK(F10),ISBLANK(F12),ISBLANK(F13),ISBLANK(F14),ISBLANK(F16),ISBLANK(F17),ISBLANK(F18),ISBLANK(F20),ISBLANK(F21)),"N/A",IF(BG48=BG49,"ok","&lt;&gt;"))</f>
        <v>N/A</v>
      </c>
      <c r="BH50" s="82"/>
      <c r="BI50" s="82" t="str">
        <f aca="true" t="shared" si="37" ref="BI50:DA50">IF(OR(ISBLANK(H10),ISBLANK(H12),ISBLANK(H13),ISBLANK(H14),ISBLANK(H16),ISBLANK(H17),ISBLANK(H18),ISBLANK(H20),ISBLANK(H21)),"N/A",IF(BI48=BI49,"ok","&lt;&gt;"))</f>
        <v>N/A</v>
      </c>
      <c r="BJ50" s="82"/>
      <c r="BK50" s="82" t="str">
        <f t="shared" si="37"/>
        <v>N/A</v>
      </c>
      <c r="BL50" s="82"/>
      <c r="BM50" s="82" t="str">
        <f t="shared" si="37"/>
        <v>N/A</v>
      </c>
      <c r="BN50" s="82"/>
      <c r="BO50" s="82" t="str">
        <f t="shared" si="37"/>
        <v>N/A</v>
      </c>
      <c r="BP50" s="82"/>
      <c r="BQ50" s="82" t="str">
        <f t="shared" si="37"/>
        <v>N/A</v>
      </c>
      <c r="BR50" s="82"/>
      <c r="BS50" s="82" t="str">
        <f t="shared" si="37"/>
        <v>N/A</v>
      </c>
      <c r="BT50" s="82"/>
      <c r="BU50" s="82" t="str">
        <f t="shared" si="37"/>
        <v>N/A</v>
      </c>
      <c r="BV50" s="82"/>
      <c r="BW50" s="82" t="str">
        <f t="shared" si="37"/>
        <v>N/A</v>
      </c>
      <c r="BX50" s="82"/>
      <c r="BY50" s="82" t="str">
        <f t="shared" si="37"/>
        <v>N/A</v>
      </c>
      <c r="BZ50" s="82"/>
      <c r="CA50" s="82" t="str">
        <f t="shared" si="37"/>
        <v>N/A</v>
      </c>
      <c r="CB50" s="82"/>
      <c r="CC50" s="82" t="str">
        <f t="shared" si="37"/>
        <v>N/A</v>
      </c>
      <c r="CD50" s="82"/>
      <c r="CE50" s="82" t="str">
        <f t="shared" si="37"/>
        <v>N/A</v>
      </c>
      <c r="CF50" s="82"/>
      <c r="CG50" s="82" t="str">
        <f t="shared" si="37"/>
        <v>N/A</v>
      </c>
      <c r="CH50" s="82"/>
      <c r="CI50" s="82" t="str">
        <f t="shared" si="37"/>
        <v>N/A</v>
      </c>
      <c r="CJ50" s="82"/>
      <c r="CK50" s="82" t="str">
        <f t="shared" si="37"/>
        <v>N/A</v>
      </c>
      <c r="CL50" s="82"/>
      <c r="CM50" s="82" t="str">
        <f t="shared" si="37"/>
        <v>N/A</v>
      </c>
      <c r="CN50" s="82"/>
      <c r="CO50" s="82" t="str">
        <f t="shared" si="37"/>
        <v>N/A</v>
      </c>
      <c r="CP50" s="82"/>
      <c r="CQ50" s="82" t="str">
        <f t="shared" si="37"/>
        <v>N/A</v>
      </c>
      <c r="CR50" s="82"/>
      <c r="CS50" s="82" t="str">
        <f t="shared" si="37"/>
        <v>N/A</v>
      </c>
      <c r="CT50" s="82"/>
      <c r="CU50" s="82" t="str">
        <f t="shared" si="37"/>
        <v>N/A</v>
      </c>
      <c r="CV50" s="82"/>
      <c r="CW50" s="82" t="str">
        <f t="shared" si="37"/>
        <v>N/A</v>
      </c>
      <c r="CX50" s="82"/>
      <c r="CY50" s="82" t="str">
        <f t="shared" si="37"/>
        <v>N/A</v>
      </c>
      <c r="CZ50" s="82"/>
      <c r="DA50" s="82" t="str">
        <f t="shared" si="37"/>
        <v>N/A</v>
      </c>
      <c r="DB50" s="244"/>
    </row>
    <row r="51" spans="2:106" ht="25.5" customHeight="1">
      <c r="B51" s="562"/>
      <c r="C51" s="550"/>
      <c r="D51" s="568" t="str">
        <f>D14&amp;" (W2,6)"</f>
        <v>Agriculture, sylviculture et pêche (divisions 1 à 3 de la CITI) (W2,6)</v>
      </c>
      <c r="E51" s="563"/>
      <c r="F51" s="844" t="str">
        <f>D23&amp;" (W2,15)"</f>
        <v>Eau réutilisée (W2,15)</v>
      </c>
      <c r="G51" s="829"/>
      <c r="H51" s="845"/>
      <c r="I51" s="563"/>
      <c r="J51" s="563"/>
      <c r="K51" s="563"/>
      <c r="L51" s="819"/>
      <c r="M51" s="820"/>
      <c r="N51" s="821"/>
      <c r="O51" s="563"/>
      <c r="P51" s="563"/>
      <c r="Q51" s="819"/>
      <c r="R51" s="820"/>
      <c r="S51" s="821"/>
      <c r="T51" s="563"/>
      <c r="U51" s="563"/>
      <c r="V51" s="563"/>
      <c r="W51" s="563"/>
      <c r="X51" s="563"/>
      <c r="Y51" s="563"/>
      <c r="Z51" s="302"/>
      <c r="AA51" s="828" t="str">
        <f>D31&amp;" (W2,22)"</f>
        <v>Agriculture, sylviculture et pêche (divisions 1 à 3 de la CITI) (W2,22)</v>
      </c>
      <c r="AB51" s="829"/>
      <c r="AC51" s="829"/>
      <c r="AD51" s="829"/>
      <c r="AE51" s="829"/>
      <c r="AF51" s="829"/>
      <c r="AG51" s="829"/>
      <c r="AH51" s="779"/>
      <c r="AI51" s="779"/>
      <c r="AJ51" s="780"/>
      <c r="AK51" s="825"/>
      <c r="AL51" s="825"/>
      <c r="AM51" s="825"/>
      <c r="AN51" s="429"/>
      <c r="AO51" s="572"/>
      <c r="AP51" s="563"/>
      <c r="AQ51" s="625"/>
      <c r="AR51" s="625"/>
      <c r="AS51" s="625"/>
      <c r="AT51" s="625"/>
      <c r="AU51" s="625"/>
      <c r="AV51" s="625"/>
      <c r="AW51" s="625"/>
      <c r="AX51" s="625"/>
      <c r="AY51" s="625"/>
      <c r="AZ51" s="625"/>
      <c r="BA51" s="626"/>
      <c r="BB51" s="629"/>
      <c r="BD51" s="386">
        <v>20</v>
      </c>
      <c r="BE51" s="574" t="s">
        <v>651</v>
      </c>
      <c r="BF51" s="100" t="s">
        <v>444</v>
      </c>
      <c r="BG51" s="85">
        <f>F28</f>
        <v>0</v>
      </c>
      <c r="BH51" s="85"/>
      <c r="BI51" s="85">
        <f aca="true" t="shared" si="38" ref="BI51:DA51">H28</f>
        <v>0</v>
      </c>
      <c r="BJ51" s="85"/>
      <c r="BK51" s="85">
        <f t="shared" si="38"/>
        <v>0</v>
      </c>
      <c r="BL51" s="85"/>
      <c r="BM51" s="85">
        <f t="shared" si="38"/>
        <v>0</v>
      </c>
      <c r="BN51" s="85"/>
      <c r="BO51" s="85">
        <f t="shared" si="38"/>
        <v>0</v>
      </c>
      <c r="BP51" s="85"/>
      <c r="BQ51" s="85">
        <f t="shared" si="38"/>
        <v>0</v>
      </c>
      <c r="BR51" s="85"/>
      <c r="BS51" s="85">
        <f t="shared" si="38"/>
        <v>0</v>
      </c>
      <c r="BT51" s="85"/>
      <c r="BU51" s="85">
        <f t="shared" si="38"/>
        <v>0</v>
      </c>
      <c r="BV51" s="85"/>
      <c r="BW51" s="85">
        <f t="shared" si="38"/>
        <v>0</v>
      </c>
      <c r="BX51" s="85"/>
      <c r="BY51" s="85">
        <f t="shared" si="38"/>
        <v>0</v>
      </c>
      <c r="BZ51" s="85"/>
      <c r="CA51" s="85">
        <f t="shared" si="38"/>
        <v>0</v>
      </c>
      <c r="CB51" s="85"/>
      <c r="CC51" s="85">
        <f t="shared" si="38"/>
        <v>0</v>
      </c>
      <c r="CD51" s="85"/>
      <c r="CE51" s="85">
        <f t="shared" si="38"/>
        <v>0</v>
      </c>
      <c r="CF51" s="85"/>
      <c r="CG51" s="85">
        <f t="shared" si="38"/>
        <v>0</v>
      </c>
      <c r="CH51" s="85"/>
      <c r="CI51" s="85">
        <f t="shared" si="38"/>
        <v>0</v>
      </c>
      <c r="CJ51" s="85"/>
      <c r="CK51" s="85">
        <f t="shared" si="38"/>
        <v>0</v>
      </c>
      <c r="CL51" s="85"/>
      <c r="CM51" s="85">
        <f t="shared" si="38"/>
        <v>0</v>
      </c>
      <c r="CN51" s="85"/>
      <c r="CO51" s="85">
        <f t="shared" si="38"/>
        <v>0</v>
      </c>
      <c r="CP51" s="85"/>
      <c r="CQ51" s="85">
        <f t="shared" si="38"/>
        <v>0</v>
      </c>
      <c r="CR51" s="85"/>
      <c r="CS51" s="85">
        <f t="shared" si="38"/>
        <v>0</v>
      </c>
      <c r="CT51" s="85"/>
      <c r="CU51" s="85">
        <f t="shared" si="38"/>
        <v>0</v>
      </c>
      <c r="CV51" s="85"/>
      <c r="CW51" s="85">
        <f t="shared" si="38"/>
        <v>0</v>
      </c>
      <c r="CX51" s="85"/>
      <c r="CY51" s="85">
        <f t="shared" si="38"/>
        <v>0</v>
      </c>
      <c r="CZ51" s="85"/>
      <c r="DA51" s="85">
        <f t="shared" si="38"/>
        <v>0</v>
      </c>
      <c r="DB51" s="249"/>
    </row>
    <row r="52" spans="2:106" ht="9" customHeight="1">
      <c r="B52" s="562"/>
      <c r="C52" s="550"/>
      <c r="D52" s="573"/>
      <c r="E52" s="563"/>
      <c r="F52" s="563"/>
      <c r="G52" s="563"/>
      <c r="H52" s="563"/>
      <c r="I52" s="563"/>
      <c r="J52" s="563"/>
      <c r="K52" s="563"/>
      <c r="L52" s="819"/>
      <c r="M52" s="820"/>
      <c r="N52" s="821"/>
      <c r="O52" s="563"/>
      <c r="P52" s="563"/>
      <c r="Q52" s="819"/>
      <c r="R52" s="820"/>
      <c r="S52" s="821"/>
      <c r="T52" s="563"/>
      <c r="U52" s="563"/>
      <c r="V52" s="563"/>
      <c r="W52" s="563"/>
      <c r="X52" s="563"/>
      <c r="Y52" s="563"/>
      <c r="Z52" s="566"/>
      <c r="AA52" s="563"/>
      <c r="AB52" s="563"/>
      <c r="AC52" s="563"/>
      <c r="AD52" s="563"/>
      <c r="AE52" s="563"/>
      <c r="AF52" s="563"/>
      <c r="AG52" s="563"/>
      <c r="AH52" s="563"/>
      <c r="AI52" s="563"/>
      <c r="AJ52" s="563"/>
      <c r="AK52" s="825"/>
      <c r="AL52" s="825"/>
      <c r="AM52" s="825"/>
      <c r="AN52" s="563"/>
      <c r="AO52" s="563"/>
      <c r="AP52" s="563"/>
      <c r="AQ52" s="627"/>
      <c r="AR52" s="627"/>
      <c r="AS52" s="627"/>
      <c r="AT52" s="627"/>
      <c r="AU52" s="627"/>
      <c r="AV52" s="627"/>
      <c r="AW52" s="627"/>
      <c r="AX52" s="627"/>
      <c r="AY52" s="627"/>
      <c r="AZ52" s="627"/>
      <c r="BA52" s="627"/>
      <c r="BB52" s="632"/>
      <c r="BC52" s="330"/>
      <c r="BD52" s="315">
        <v>33</v>
      </c>
      <c r="BE52" s="409" t="s">
        <v>662</v>
      </c>
      <c r="BF52" s="100" t="s">
        <v>444</v>
      </c>
      <c r="BG52" s="82">
        <f>F26-F27</f>
        <v>0</v>
      </c>
      <c r="BH52" s="82"/>
      <c r="BI52" s="82">
        <f aca="true" t="shared" si="39" ref="BI52:DA52">H26-H27</f>
        <v>0</v>
      </c>
      <c r="BJ52" s="82"/>
      <c r="BK52" s="82">
        <f t="shared" si="39"/>
        <v>0</v>
      </c>
      <c r="BL52" s="82"/>
      <c r="BM52" s="82">
        <f t="shared" si="39"/>
        <v>0</v>
      </c>
      <c r="BN52" s="82"/>
      <c r="BO52" s="82">
        <f t="shared" si="39"/>
        <v>0</v>
      </c>
      <c r="BP52" s="82"/>
      <c r="BQ52" s="82">
        <f t="shared" si="39"/>
        <v>0</v>
      </c>
      <c r="BR52" s="82"/>
      <c r="BS52" s="82">
        <f t="shared" si="39"/>
        <v>0</v>
      </c>
      <c r="BT52" s="82"/>
      <c r="BU52" s="82">
        <f t="shared" si="39"/>
        <v>0</v>
      </c>
      <c r="BV52" s="82"/>
      <c r="BW52" s="82">
        <f t="shared" si="39"/>
        <v>0</v>
      </c>
      <c r="BX52" s="82"/>
      <c r="BY52" s="82">
        <f t="shared" si="39"/>
        <v>0</v>
      </c>
      <c r="BZ52" s="82"/>
      <c r="CA52" s="82">
        <f t="shared" si="39"/>
        <v>0</v>
      </c>
      <c r="CB52" s="82"/>
      <c r="CC52" s="82">
        <f t="shared" si="39"/>
        <v>0</v>
      </c>
      <c r="CD52" s="82"/>
      <c r="CE52" s="82">
        <f t="shared" si="39"/>
        <v>0</v>
      </c>
      <c r="CF52" s="82"/>
      <c r="CG52" s="82">
        <f t="shared" si="39"/>
        <v>0</v>
      </c>
      <c r="CH52" s="82"/>
      <c r="CI52" s="82">
        <f t="shared" si="39"/>
        <v>0</v>
      </c>
      <c r="CJ52" s="82"/>
      <c r="CK52" s="82">
        <f t="shared" si="39"/>
        <v>0</v>
      </c>
      <c r="CL52" s="82"/>
      <c r="CM52" s="82">
        <f t="shared" si="39"/>
        <v>0</v>
      </c>
      <c r="CN52" s="82"/>
      <c r="CO52" s="82">
        <f t="shared" si="39"/>
        <v>0</v>
      </c>
      <c r="CP52" s="82"/>
      <c r="CQ52" s="82">
        <f t="shared" si="39"/>
        <v>0</v>
      </c>
      <c r="CR52" s="82"/>
      <c r="CS52" s="82">
        <f t="shared" si="39"/>
        <v>0</v>
      </c>
      <c r="CT52" s="82"/>
      <c r="CU52" s="82">
        <f t="shared" si="39"/>
        <v>0</v>
      </c>
      <c r="CV52" s="82"/>
      <c r="CW52" s="82">
        <f t="shared" si="39"/>
        <v>0</v>
      </c>
      <c r="CX52" s="82"/>
      <c r="CY52" s="82">
        <f t="shared" si="39"/>
        <v>0</v>
      </c>
      <c r="CZ52" s="82"/>
      <c r="DA52" s="82">
        <f t="shared" si="39"/>
        <v>0</v>
      </c>
      <c r="DB52" s="244"/>
    </row>
    <row r="53" spans="2:106" ht="24.75" customHeight="1">
      <c r="B53" s="562"/>
      <c r="C53" s="550"/>
      <c r="D53" s="568" t="str">
        <f>D16&amp;" (W2,8)"</f>
        <v>Activités extractives (divisions 5 à 9 de la CITI) (W2,8)</v>
      </c>
      <c r="E53" s="563"/>
      <c r="F53" s="563"/>
      <c r="G53" s="563"/>
      <c r="H53" s="563"/>
      <c r="I53" s="563"/>
      <c r="J53" s="563"/>
      <c r="K53" s="563"/>
      <c r="L53" s="819"/>
      <c r="M53" s="820"/>
      <c r="N53" s="821"/>
      <c r="O53" s="563"/>
      <c r="P53" s="563"/>
      <c r="Q53" s="819"/>
      <c r="R53" s="820"/>
      <c r="S53" s="821"/>
      <c r="T53" s="563"/>
      <c r="U53" s="563"/>
      <c r="V53" s="563"/>
      <c r="W53" s="563"/>
      <c r="X53" s="563"/>
      <c r="Y53" s="563"/>
      <c r="Z53" s="566"/>
      <c r="AA53" s="828" t="str">
        <f>D33&amp;" (W2,24)"</f>
        <v>Activités extractives (divisions 5 à 9 de la CITI) (W2,24)</v>
      </c>
      <c r="AB53" s="829"/>
      <c r="AC53" s="829"/>
      <c r="AD53" s="829"/>
      <c r="AE53" s="829"/>
      <c r="AF53" s="829"/>
      <c r="AG53" s="829"/>
      <c r="AH53" s="779"/>
      <c r="AI53" s="779"/>
      <c r="AJ53" s="780"/>
      <c r="AK53" s="576"/>
      <c r="AL53" s="576"/>
      <c r="AM53" s="576"/>
      <c r="AN53" s="563"/>
      <c r="AO53" s="563"/>
      <c r="AP53" s="563"/>
      <c r="AQ53" s="625"/>
      <c r="AR53" s="625"/>
      <c r="AS53" s="625"/>
      <c r="AT53" s="625"/>
      <c r="AU53" s="625"/>
      <c r="AV53" s="625"/>
      <c r="AW53" s="625"/>
      <c r="AX53" s="625"/>
      <c r="AY53" s="625"/>
      <c r="AZ53" s="625"/>
      <c r="BA53" s="626"/>
      <c r="BB53" s="629"/>
      <c r="BC53" s="330"/>
      <c r="BD53" s="325" t="s">
        <v>469</v>
      </c>
      <c r="BE53" s="420" t="s">
        <v>663</v>
      </c>
      <c r="BF53" s="421"/>
      <c r="BG53" s="83" t="str">
        <f>IF(OR(ISBLANK(F26),ISBLANK(F27),ISBLANK(F28)),"N/A",IF(BG51=BG52,"ok","&lt;&gt;"))</f>
        <v>N/A</v>
      </c>
      <c r="BH53" s="83"/>
      <c r="BI53" s="83" t="str">
        <f aca="true" t="shared" si="40" ref="BI53:DA53">IF(OR(ISBLANK(H26),ISBLANK(H27),ISBLANK(H28)),"N/A",IF(BI51=BI52,"ok","&lt;&gt;"))</f>
        <v>N/A</v>
      </c>
      <c r="BJ53" s="83"/>
      <c r="BK53" s="83" t="str">
        <f t="shared" si="40"/>
        <v>N/A</v>
      </c>
      <c r="BL53" s="83"/>
      <c r="BM53" s="83" t="str">
        <f t="shared" si="40"/>
        <v>N/A</v>
      </c>
      <c r="BN53" s="83"/>
      <c r="BO53" s="83" t="str">
        <f t="shared" si="40"/>
        <v>N/A</v>
      </c>
      <c r="BP53" s="83"/>
      <c r="BQ53" s="83" t="str">
        <f t="shared" si="40"/>
        <v>N/A</v>
      </c>
      <c r="BR53" s="83"/>
      <c r="BS53" s="83" t="str">
        <f t="shared" si="40"/>
        <v>N/A</v>
      </c>
      <c r="BT53" s="83"/>
      <c r="BU53" s="83" t="str">
        <f t="shared" si="40"/>
        <v>N/A</v>
      </c>
      <c r="BV53" s="83"/>
      <c r="BW53" s="83" t="str">
        <f t="shared" si="40"/>
        <v>N/A</v>
      </c>
      <c r="BX53" s="83"/>
      <c r="BY53" s="83" t="str">
        <f t="shared" si="40"/>
        <v>N/A</v>
      </c>
      <c r="BZ53" s="83"/>
      <c r="CA53" s="83" t="str">
        <f t="shared" si="40"/>
        <v>N/A</v>
      </c>
      <c r="CB53" s="83"/>
      <c r="CC53" s="83" t="str">
        <f t="shared" si="40"/>
        <v>N/A</v>
      </c>
      <c r="CD53" s="83"/>
      <c r="CE53" s="83" t="str">
        <f t="shared" si="40"/>
        <v>N/A</v>
      </c>
      <c r="CF53" s="83"/>
      <c r="CG53" s="83" t="str">
        <f t="shared" si="40"/>
        <v>N/A</v>
      </c>
      <c r="CH53" s="83"/>
      <c r="CI53" s="83" t="str">
        <f t="shared" si="40"/>
        <v>N/A</v>
      </c>
      <c r="CJ53" s="83"/>
      <c r="CK53" s="83" t="str">
        <f t="shared" si="40"/>
        <v>N/A</v>
      </c>
      <c r="CL53" s="83"/>
      <c r="CM53" s="83" t="str">
        <f t="shared" si="40"/>
        <v>N/A</v>
      </c>
      <c r="CN53" s="83"/>
      <c r="CO53" s="83" t="str">
        <f t="shared" si="40"/>
        <v>N/A</v>
      </c>
      <c r="CP53" s="83"/>
      <c r="CQ53" s="83" t="str">
        <f t="shared" si="40"/>
        <v>N/A</v>
      </c>
      <c r="CR53" s="83"/>
      <c r="CS53" s="83" t="str">
        <f t="shared" si="40"/>
        <v>N/A</v>
      </c>
      <c r="CT53" s="83"/>
      <c r="CU53" s="83" t="str">
        <f t="shared" si="40"/>
        <v>N/A</v>
      </c>
      <c r="CV53" s="83"/>
      <c r="CW53" s="83" t="str">
        <f t="shared" si="40"/>
        <v>N/A</v>
      </c>
      <c r="CX53" s="83"/>
      <c r="CY53" s="83" t="str">
        <f t="shared" si="40"/>
        <v>N/A</v>
      </c>
      <c r="CZ53" s="83"/>
      <c r="DA53" s="83" t="str">
        <f t="shared" si="40"/>
        <v>N/A</v>
      </c>
      <c r="DB53" s="276"/>
    </row>
    <row r="54" spans="2:106" ht="8.25" customHeight="1">
      <c r="B54" s="562"/>
      <c r="C54" s="550"/>
      <c r="D54" s="573"/>
      <c r="E54" s="563"/>
      <c r="F54" s="563"/>
      <c r="G54" s="563"/>
      <c r="H54" s="563"/>
      <c r="I54" s="563"/>
      <c r="J54" s="563"/>
      <c r="K54" s="563"/>
      <c r="L54" s="819"/>
      <c r="M54" s="820"/>
      <c r="N54" s="821"/>
      <c r="O54" s="563"/>
      <c r="P54" s="563"/>
      <c r="Q54" s="819"/>
      <c r="R54" s="820"/>
      <c r="S54" s="821"/>
      <c r="T54" s="563"/>
      <c r="U54" s="563"/>
      <c r="V54" s="563"/>
      <c r="W54" s="563"/>
      <c r="X54" s="563"/>
      <c r="Y54" s="563"/>
      <c r="Z54" s="566"/>
      <c r="AK54" s="576"/>
      <c r="AL54" s="576"/>
      <c r="AM54" s="576"/>
      <c r="AN54" s="563"/>
      <c r="AO54" s="563"/>
      <c r="AP54" s="563"/>
      <c r="AQ54" s="625"/>
      <c r="AR54" s="625"/>
      <c r="AS54" s="625"/>
      <c r="AT54" s="625"/>
      <c r="AU54" s="625"/>
      <c r="AV54" s="625"/>
      <c r="AW54" s="625"/>
      <c r="AX54" s="625"/>
      <c r="AY54" s="625"/>
      <c r="AZ54" s="625"/>
      <c r="BA54" s="626"/>
      <c r="BB54" s="629"/>
      <c r="BC54" s="330"/>
      <c r="BD54" s="327" t="s">
        <v>429</v>
      </c>
      <c r="BE54" s="328" t="s">
        <v>430</v>
      </c>
      <c r="BF54" s="99"/>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422"/>
    </row>
    <row r="55" spans="2:106" ht="24.75" customHeight="1">
      <c r="B55" s="562"/>
      <c r="C55" s="550"/>
      <c r="D55" s="568" t="str">
        <f>D17&amp;" (W2,9)"</f>
        <v>Activités de fabrication (divisions 10 à 33 de la CITI) (W2,9)</v>
      </c>
      <c r="E55" s="563"/>
      <c r="F55" s="563"/>
      <c r="G55" s="563"/>
      <c r="H55" s="563"/>
      <c r="I55" s="563"/>
      <c r="J55" s="563"/>
      <c r="K55" s="563"/>
      <c r="L55" s="819"/>
      <c r="M55" s="820"/>
      <c r="N55" s="821"/>
      <c r="O55" s="563"/>
      <c r="P55" s="563"/>
      <c r="Q55" s="819"/>
      <c r="R55" s="820"/>
      <c r="S55" s="821"/>
      <c r="T55" s="563"/>
      <c r="U55" s="563"/>
      <c r="V55" s="563"/>
      <c r="W55" s="563"/>
      <c r="X55" s="563"/>
      <c r="Y55" s="563"/>
      <c r="Z55" s="566"/>
      <c r="AA55" s="810" t="str">
        <f>D34&amp;" (W2,25)"</f>
        <v>Activités de fabrication  (divisions 10 à 33 de la CITI) (W2,25)</v>
      </c>
      <c r="AB55" s="811"/>
      <c r="AC55" s="811"/>
      <c r="AD55" s="811"/>
      <c r="AE55" s="811"/>
      <c r="AF55" s="811"/>
      <c r="AG55" s="811"/>
      <c r="AH55" s="811"/>
      <c r="AI55" s="811"/>
      <c r="AJ55" s="812"/>
      <c r="AK55" s="576"/>
      <c r="AL55" s="576"/>
      <c r="AM55" s="576"/>
      <c r="AN55" s="563"/>
      <c r="AO55" s="563"/>
      <c r="AP55" s="563"/>
      <c r="AQ55" s="625"/>
      <c r="AR55" s="625"/>
      <c r="AS55" s="625"/>
      <c r="AT55" s="625"/>
      <c r="AU55" s="625"/>
      <c r="AV55" s="625"/>
      <c r="AW55" s="625"/>
      <c r="AX55" s="625"/>
      <c r="AY55" s="625"/>
      <c r="AZ55" s="625"/>
      <c r="BA55" s="626"/>
      <c r="BB55" s="629"/>
      <c r="BC55" s="330"/>
      <c r="BD55" s="327" t="s">
        <v>431</v>
      </c>
      <c r="BE55" s="328" t="s">
        <v>432</v>
      </c>
      <c r="BF55" s="99"/>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422"/>
    </row>
    <row r="56" spans="2:106" ht="8.25" customHeight="1">
      <c r="B56" s="562"/>
      <c r="C56" s="550"/>
      <c r="D56" s="573"/>
      <c r="E56" s="563"/>
      <c r="F56" s="563"/>
      <c r="G56" s="563"/>
      <c r="H56" s="563"/>
      <c r="I56" s="563"/>
      <c r="J56" s="563"/>
      <c r="K56" s="563"/>
      <c r="L56" s="819"/>
      <c r="M56" s="820"/>
      <c r="N56" s="821"/>
      <c r="O56" s="563"/>
      <c r="P56" s="563"/>
      <c r="Q56" s="819"/>
      <c r="R56" s="820"/>
      <c r="S56" s="821"/>
      <c r="T56" s="563"/>
      <c r="U56" s="563"/>
      <c r="V56" s="563"/>
      <c r="W56" s="563"/>
      <c r="X56" s="563"/>
      <c r="Y56" s="563"/>
      <c r="Z56" s="566"/>
      <c r="AA56" s="566"/>
      <c r="AB56" s="566"/>
      <c r="AC56" s="566"/>
      <c r="AD56" s="566"/>
      <c r="AE56" s="566"/>
      <c r="AF56" s="566"/>
      <c r="AG56" s="566"/>
      <c r="AH56" s="566"/>
      <c r="AI56" s="566"/>
      <c r="AJ56" s="566"/>
      <c r="AK56" s="576"/>
      <c r="AL56" s="576"/>
      <c r="AM56" s="576"/>
      <c r="AN56" s="563"/>
      <c r="AO56" s="563"/>
      <c r="AP56" s="563"/>
      <c r="AQ56" s="625"/>
      <c r="AR56" s="625"/>
      <c r="AS56" s="625"/>
      <c r="AT56" s="625"/>
      <c r="AU56" s="625"/>
      <c r="AV56" s="625"/>
      <c r="AW56" s="625"/>
      <c r="AX56" s="625"/>
      <c r="AY56" s="625"/>
      <c r="AZ56" s="625"/>
      <c r="BA56" s="626"/>
      <c r="BB56" s="629"/>
      <c r="BC56" s="330"/>
      <c r="BD56" s="329" t="s">
        <v>434</v>
      </c>
      <c r="BE56" s="328" t="s">
        <v>436</v>
      </c>
      <c r="BF56" s="99"/>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422"/>
    </row>
    <row r="57" spans="2:106" ht="36" customHeight="1">
      <c r="B57" s="562"/>
      <c r="C57" s="550"/>
      <c r="D57" s="568" t="str">
        <f>D18&amp;" (W2,10)"</f>
        <v>Production et distribution d’électricité, de gaz, de vapeur et climatisation (division 35 de la CITI) (W2,10)</v>
      </c>
      <c r="E57" s="563"/>
      <c r="F57" s="563"/>
      <c r="G57" s="563"/>
      <c r="H57" s="563"/>
      <c r="I57" s="563"/>
      <c r="J57" s="563"/>
      <c r="K57" s="563"/>
      <c r="L57" s="816"/>
      <c r="M57" s="817"/>
      <c r="N57" s="818"/>
      <c r="O57" s="563"/>
      <c r="P57" s="563"/>
      <c r="Q57" s="816"/>
      <c r="R57" s="817"/>
      <c r="S57" s="818"/>
      <c r="T57" s="563"/>
      <c r="U57" s="563"/>
      <c r="V57" s="563"/>
      <c r="W57" s="563"/>
      <c r="X57" s="567"/>
      <c r="Y57" s="302"/>
      <c r="Z57" s="302"/>
      <c r="AA57" s="810" t="str">
        <f>D35&amp;" (W2,26)"</f>
        <v>Production et distribution d’électricité, de gaz, de vapeur et climatisation (division 35 de la CITI) (W2,26)</v>
      </c>
      <c r="AB57" s="811"/>
      <c r="AC57" s="811"/>
      <c r="AD57" s="811"/>
      <c r="AE57" s="811"/>
      <c r="AF57" s="811"/>
      <c r="AG57" s="811"/>
      <c r="AH57" s="811"/>
      <c r="AI57" s="811"/>
      <c r="AJ57" s="812"/>
      <c r="AK57" s="566"/>
      <c r="AL57" s="566"/>
      <c r="AM57" s="566"/>
      <c r="AN57" s="563"/>
      <c r="AO57" s="563"/>
      <c r="AP57" s="563"/>
      <c r="AQ57" s="625"/>
      <c r="AR57" s="625"/>
      <c r="AS57" s="625"/>
      <c r="AT57" s="625"/>
      <c r="AU57" s="625"/>
      <c r="AV57" s="625"/>
      <c r="AW57" s="625"/>
      <c r="AX57" s="625"/>
      <c r="AY57" s="625"/>
      <c r="AZ57" s="625"/>
      <c r="BA57" s="626"/>
      <c r="BB57" s="629"/>
      <c r="BC57" s="330"/>
      <c r="BD57" s="329" t="s">
        <v>433</v>
      </c>
      <c r="BE57" s="328" t="s">
        <v>395</v>
      </c>
      <c r="BF57" s="99"/>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422"/>
    </row>
    <row r="58" spans="2:107" ht="7.5" customHeight="1">
      <c r="B58" s="562"/>
      <c r="C58" s="550"/>
      <c r="D58" s="573"/>
      <c r="E58" s="563"/>
      <c r="F58" s="813" t="str">
        <f>D24&amp;" - "&amp;D25&amp;"  =(W2,16) - (W2,17)"</f>
        <v>Importations d’eau - Exportations d’eau  =(W2,16) - (W2,17)</v>
      </c>
      <c r="G58" s="814"/>
      <c r="H58" s="815"/>
      <c r="I58" s="563"/>
      <c r="J58" s="563"/>
      <c r="K58" s="563"/>
      <c r="L58" s="563"/>
      <c r="M58" s="563"/>
      <c r="N58" s="563"/>
      <c r="O58" s="563"/>
      <c r="P58" s="563"/>
      <c r="Q58" s="563"/>
      <c r="R58" s="563"/>
      <c r="S58" s="563"/>
      <c r="T58" s="563"/>
      <c r="U58" s="563"/>
      <c r="V58" s="563"/>
      <c r="W58" s="563"/>
      <c r="X58" s="567"/>
      <c r="Y58" s="302"/>
      <c r="Z58" s="628"/>
      <c r="AB58" s="789"/>
      <c r="AC58" s="789"/>
      <c r="AD58" s="789"/>
      <c r="AE58" s="789"/>
      <c r="AF58" s="789"/>
      <c r="AG58" s="789"/>
      <c r="AH58" s="789"/>
      <c r="AI58" s="789"/>
      <c r="AJ58" s="789"/>
      <c r="AK58" s="566"/>
      <c r="AL58" s="566"/>
      <c r="AM58" s="566"/>
      <c r="AN58" s="563"/>
      <c r="AO58" s="563"/>
      <c r="AP58" s="563"/>
      <c r="AQ58" s="627"/>
      <c r="AR58" s="627"/>
      <c r="AS58" s="627"/>
      <c r="AT58" s="627"/>
      <c r="AU58" s="627"/>
      <c r="AV58" s="627"/>
      <c r="AW58" s="627"/>
      <c r="AX58" s="627"/>
      <c r="AY58" s="627"/>
      <c r="AZ58" s="627"/>
      <c r="BA58" s="627"/>
      <c r="BB58" s="632"/>
      <c r="BD58" s="327" t="s">
        <v>429</v>
      </c>
      <c r="BE58" s="328" t="s">
        <v>430</v>
      </c>
      <c r="BF58" s="99"/>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422"/>
      <c r="DC58" s="320"/>
    </row>
    <row r="59" spans="2:107" ht="42.75" customHeight="1">
      <c r="B59" s="562"/>
      <c r="C59" s="550"/>
      <c r="D59" s="568" t="str">
        <f>D20&amp;" (W2,12)"</f>
        <v>Construction (divisions 41 à 43 de la CITI) (W2,12)</v>
      </c>
      <c r="E59" s="563"/>
      <c r="F59" s="819"/>
      <c r="G59" s="820"/>
      <c r="H59" s="821"/>
      <c r="I59" s="563"/>
      <c r="J59" s="563"/>
      <c r="K59" s="563"/>
      <c r="L59" s="563"/>
      <c r="M59" s="563"/>
      <c r="N59" s="813" t="str">
        <f>D27&amp;" (W2,19)"</f>
        <v>Pertes au cours du transport (W2,19)</v>
      </c>
      <c r="O59" s="814"/>
      <c r="P59" s="815"/>
      <c r="Q59" s="563"/>
      <c r="R59" s="563"/>
      <c r="S59" s="563"/>
      <c r="T59" s="563"/>
      <c r="U59" s="563"/>
      <c r="V59" s="563"/>
      <c r="W59" s="563"/>
      <c r="X59" s="567"/>
      <c r="Y59" s="302"/>
      <c r="Z59" s="628"/>
      <c r="AA59" s="810" t="str">
        <f>D37&amp;" (W2,28)"</f>
        <v>Construction (divisions 41 à 43 de la CITI) (W2,28)</v>
      </c>
      <c r="AB59" s="811"/>
      <c r="AC59" s="811"/>
      <c r="AD59" s="811"/>
      <c r="AE59" s="811"/>
      <c r="AF59" s="811"/>
      <c r="AG59" s="811"/>
      <c r="AH59" s="811"/>
      <c r="AI59" s="811"/>
      <c r="AJ59" s="812"/>
      <c r="AK59" s="302"/>
      <c r="AL59" s="302"/>
      <c r="AM59" s="566"/>
      <c r="AN59" s="563"/>
      <c r="AO59" s="563"/>
      <c r="AP59" s="563"/>
      <c r="AQ59" s="625"/>
      <c r="AR59" s="625"/>
      <c r="AS59" s="625"/>
      <c r="AT59" s="625"/>
      <c r="AU59" s="625"/>
      <c r="AV59" s="625"/>
      <c r="AW59" s="625"/>
      <c r="AX59" s="625"/>
      <c r="AY59" s="625"/>
      <c r="AZ59" s="625"/>
      <c r="BA59" s="626"/>
      <c r="BB59" s="629"/>
      <c r="BD59" s="327" t="s">
        <v>431</v>
      </c>
      <c r="BE59" s="328" t="s">
        <v>432</v>
      </c>
      <c r="BF59" s="99"/>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422"/>
      <c r="DC59" s="320"/>
    </row>
    <row r="60" spans="2:107" ht="7.5" customHeight="1">
      <c r="B60" s="562"/>
      <c r="C60" s="550"/>
      <c r="D60" s="573"/>
      <c r="E60" s="563"/>
      <c r="F60" s="822"/>
      <c r="G60" s="823"/>
      <c r="H60" s="824"/>
      <c r="I60" s="563"/>
      <c r="J60" s="563"/>
      <c r="K60" s="563"/>
      <c r="L60" s="563"/>
      <c r="M60" s="563"/>
      <c r="N60" s="816"/>
      <c r="O60" s="817"/>
      <c r="P60" s="818"/>
      <c r="Q60" s="563"/>
      <c r="R60" s="563"/>
      <c r="S60" s="563"/>
      <c r="T60" s="563"/>
      <c r="U60" s="563"/>
      <c r="V60" s="563"/>
      <c r="W60" s="563"/>
      <c r="X60" s="567"/>
      <c r="Y60" s="576"/>
      <c r="Z60" s="628"/>
      <c r="AA60" s="628"/>
      <c r="AB60" s="628"/>
      <c r="AC60" s="563"/>
      <c r="AD60" s="563"/>
      <c r="AE60" s="566"/>
      <c r="AF60" s="566"/>
      <c r="AG60" s="566"/>
      <c r="AH60" s="302"/>
      <c r="AI60" s="302"/>
      <c r="AJ60" s="302"/>
      <c r="AK60" s="302"/>
      <c r="AL60" s="302"/>
      <c r="AM60" s="566"/>
      <c r="AN60" s="563"/>
      <c r="AO60" s="563"/>
      <c r="AP60" s="563"/>
      <c r="AQ60" s="563"/>
      <c r="AR60" s="563"/>
      <c r="AS60" s="563"/>
      <c r="AT60" s="563"/>
      <c r="AU60" s="563"/>
      <c r="AV60" s="563"/>
      <c r="AW60" s="563"/>
      <c r="AX60" s="563"/>
      <c r="AY60" s="563"/>
      <c r="AZ60" s="563"/>
      <c r="BA60" s="563"/>
      <c r="BB60" s="624"/>
      <c r="BD60" s="329" t="s">
        <v>434</v>
      </c>
      <c r="BE60" s="328" t="s">
        <v>436</v>
      </c>
      <c r="BF60" s="99"/>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422"/>
      <c r="DC60" s="320"/>
    </row>
    <row r="61" spans="2:107" ht="24.75" customHeight="1">
      <c r="B61" s="562"/>
      <c r="C61" s="550"/>
      <c r="D61" s="568" t="str">
        <f>D21&amp;" (W2,13)"</f>
        <v>Autres activités économiques (W2,13)</v>
      </c>
      <c r="E61" s="563"/>
      <c r="F61" s="563"/>
      <c r="G61" s="563"/>
      <c r="H61" s="563"/>
      <c r="I61" s="563"/>
      <c r="J61" s="563"/>
      <c r="K61" s="563"/>
      <c r="L61" s="563"/>
      <c r="M61" s="563"/>
      <c r="N61" s="563"/>
      <c r="O61" s="563"/>
      <c r="P61" s="563"/>
      <c r="Q61" s="563"/>
      <c r="R61" s="563"/>
      <c r="S61" s="563"/>
      <c r="T61" s="563"/>
      <c r="U61" s="563"/>
      <c r="V61" s="563"/>
      <c r="W61" s="563"/>
      <c r="X61" s="563"/>
      <c r="Y61" s="567"/>
      <c r="Z61" s="563"/>
      <c r="AA61" s="810" t="str">
        <f>D38&amp;" (W2,29)"</f>
        <v>Autres activités économiques  (W2,29)</v>
      </c>
      <c r="AB61" s="840"/>
      <c r="AC61" s="840"/>
      <c r="AD61" s="840"/>
      <c r="AE61" s="840"/>
      <c r="AF61" s="840"/>
      <c r="AG61" s="840"/>
      <c r="AH61" s="840"/>
      <c r="AI61" s="840"/>
      <c r="AJ61" s="841"/>
      <c r="AK61" s="563"/>
      <c r="AL61" s="563"/>
      <c r="AM61" s="563"/>
      <c r="AN61" s="563"/>
      <c r="AO61" s="563"/>
      <c r="AP61" s="563"/>
      <c r="AQ61" s="563"/>
      <c r="AR61" s="563"/>
      <c r="AS61" s="563"/>
      <c r="AT61" s="563"/>
      <c r="AU61" s="563"/>
      <c r="AV61" s="563"/>
      <c r="AW61" s="563"/>
      <c r="AX61" s="563"/>
      <c r="AY61" s="563"/>
      <c r="AZ61" s="563"/>
      <c r="BA61" s="563"/>
      <c r="BD61" s="329" t="s">
        <v>433</v>
      </c>
      <c r="BE61" s="328" t="s">
        <v>395</v>
      </c>
      <c r="BF61" s="99"/>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422"/>
      <c r="DC61" s="320"/>
    </row>
    <row r="62" spans="2:107" ht="24" customHeight="1">
      <c r="B62" s="180">
        <v>2</v>
      </c>
      <c r="C62" s="411" t="s">
        <v>308</v>
      </c>
      <c r="D62" s="412"/>
      <c r="E62" s="411"/>
      <c r="F62" s="210"/>
      <c r="G62" s="413"/>
      <c r="H62" s="414"/>
      <c r="I62" s="415"/>
      <c r="J62" s="415"/>
      <c r="K62" s="415"/>
      <c r="L62" s="415"/>
      <c r="M62" s="415"/>
      <c r="N62" s="415"/>
      <c r="O62" s="415"/>
      <c r="P62" s="414"/>
      <c r="Q62" s="415"/>
      <c r="R62" s="414"/>
      <c r="S62" s="415"/>
      <c r="T62" s="414"/>
      <c r="U62" s="415"/>
      <c r="V62" s="414"/>
      <c r="W62" s="413"/>
      <c r="X62" s="414"/>
      <c r="Y62" s="413"/>
      <c r="Z62" s="414"/>
      <c r="AA62" s="413"/>
      <c r="AB62" s="414"/>
      <c r="AC62" s="413"/>
      <c r="AD62" s="414"/>
      <c r="AE62" s="413"/>
      <c r="AF62" s="416"/>
      <c r="AG62" s="413"/>
      <c r="AH62" s="414"/>
      <c r="AI62" s="415"/>
      <c r="AJ62" s="414"/>
      <c r="AK62" s="413"/>
      <c r="AL62" s="414"/>
      <c r="AM62" s="413"/>
      <c r="AN62" s="414"/>
      <c r="AO62" s="367"/>
      <c r="AP62" s="367"/>
      <c r="AQ62" s="367"/>
      <c r="AR62" s="367"/>
      <c r="AS62" s="367"/>
      <c r="AT62" s="366"/>
      <c r="AU62" s="368"/>
      <c r="AV62" s="367"/>
      <c r="AW62" s="367"/>
      <c r="AX62" s="366"/>
      <c r="AY62" s="368"/>
      <c r="AZ62" s="366"/>
      <c r="BA62" s="368"/>
      <c r="BB62" s="368"/>
      <c r="BD62" s="686"/>
      <c r="BE62" s="686"/>
      <c r="BF62" s="99"/>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422"/>
      <c r="DC62" s="320"/>
    </row>
    <row r="63" spans="3:107" ht="24" customHeight="1">
      <c r="C63" s="417"/>
      <c r="D63" s="417"/>
      <c r="E63" s="418"/>
      <c r="F63" s="353"/>
      <c r="G63" s="349"/>
      <c r="H63" s="350"/>
      <c r="I63" s="351"/>
      <c r="J63" s="351"/>
      <c r="K63" s="351"/>
      <c r="L63" s="351"/>
      <c r="M63" s="351"/>
      <c r="N63" s="351"/>
      <c r="O63" s="351"/>
      <c r="P63" s="350"/>
      <c r="Q63" s="351"/>
      <c r="R63" s="350"/>
      <c r="S63" s="351"/>
      <c r="T63" s="350"/>
      <c r="U63" s="351"/>
      <c r="V63" s="350"/>
      <c r="W63" s="349"/>
      <c r="X63" s="350"/>
      <c r="Y63" s="349"/>
      <c r="Z63" s="350"/>
      <c r="AA63" s="349"/>
      <c r="AB63" s="350"/>
      <c r="AC63" s="349"/>
      <c r="AD63" s="350"/>
      <c r="AE63" s="349"/>
      <c r="AF63" s="419"/>
      <c r="AG63" s="349"/>
      <c r="AH63" s="350"/>
      <c r="AI63" s="351"/>
      <c r="AJ63" s="350"/>
      <c r="AK63" s="349"/>
      <c r="AL63" s="352"/>
      <c r="AM63" s="347"/>
      <c r="AN63" s="352"/>
      <c r="BD63" s="423"/>
      <c r="BE63" s="424"/>
      <c r="BF63" s="99"/>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422"/>
      <c r="DC63" s="320"/>
    </row>
    <row r="64" spans="3:107" ht="24" customHeight="1">
      <c r="C64" s="324" t="s">
        <v>550</v>
      </c>
      <c r="D64" s="807" t="s">
        <v>309</v>
      </c>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9"/>
      <c r="BD64" s="423"/>
      <c r="BE64" s="424"/>
      <c r="BF64" s="99"/>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422"/>
      <c r="DC64" s="320"/>
    </row>
    <row r="65" spans="3:107" ht="18" customHeight="1">
      <c r="C65" s="585"/>
      <c r="D65" s="803"/>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4"/>
      <c r="AY65" s="804"/>
      <c r="AZ65" s="804"/>
      <c r="BA65" s="804"/>
      <c r="BB65" s="805"/>
      <c r="BD65" s="423"/>
      <c r="BE65" s="424"/>
      <c r="BF65" s="99"/>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422"/>
      <c r="DC65" s="320"/>
    </row>
    <row r="66" spans="3:107" ht="18" customHeight="1">
      <c r="C66" s="580"/>
      <c r="D66" s="797"/>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8"/>
      <c r="AY66" s="798"/>
      <c r="AZ66" s="798"/>
      <c r="BA66" s="798"/>
      <c r="BB66" s="799"/>
      <c r="BD66" s="423"/>
      <c r="BE66" s="424"/>
      <c r="BF66" s="99"/>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422"/>
      <c r="DC66" s="320"/>
    </row>
    <row r="67" spans="3:107" ht="18" customHeight="1">
      <c r="C67" s="580"/>
      <c r="D67" s="797"/>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9"/>
      <c r="BD67" s="423"/>
      <c r="BE67" s="424"/>
      <c r="BF67" s="99"/>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422"/>
      <c r="DC67" s="320"/>
    </row>
    <row r="68" spans="3:107" ht="18" customHeight="1">
      <c r="C68" s="580"/>
      <c r="D68" s="797"/>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9"/>
      <c r="BD68" s="423"/>
      <c r="BE68" s="424"/>
      <c r="BF68" s="99"/>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422"/>
      <c r="DC68" s="320"/>
    </row>
    <row r="69" spans="3:107" ht="18" customHeight="1">
      <c r="C69" s="580"/>
      <c r="D69" s="797"/>
      <c r="E69" s="836"/>
      <c r="F69" s="836"/>
      <c r="G69" s="836"/>
      <c r="H69" s="836"/>
      <c r="I69" s="836"/>
      <c r="J69" s="836"/>
      <c r="K69" s="836"/>
      <c r="L69" s="836"/>
      <c r="M69" s="836"/>
      <c r="N69" s="836"/>
      <c r="O69" s="836"/>
      <c r="P69" s="836"/>
      <c r="Q69" s="836"/>
      <c r="R69" s="836"/>
      <c r="S69" s="836"/>
      <c r="T69" s="836"/>
      <c r="U69" s="836"/>
      <c r="V69" s="836"/>
      <c r="W69" s="836"/>
      <c r="X69" s="836"/>
      <c r="Y69" s="836"/>
      <c r="Z69" s="836"/>
      <c r="AA69" s="836"/>
      <c r="AB69" s="836"/>
      <c r="AC69" s="836"/>
      <c r="AD69" s="836"/>
      <c r="AE69" s="836"/>
      <c r="AF69" s="836"/>
      <c r="AG69" s="836"/>
      <c r="AH69" s="836"/>
      <c r="AI69" s="836"/>
      <c r="AJ69" s="836"/>
      <c r="AK69" s="836"/>
      <c r="AL69" s="836"/>
      <c r="AM69" s="836"/>
      <c r="AN69" s="836"/>
      <c r="AO69" s="836"/>
      <c r="AP69" s="836"/>
      <c r="AQ69" s="836"/>
      <c r="AR69" s="836"/>
      <c r="AS69" s="836"/>
      <c r="AT69" s="836"/>
      <c r="AU69" s="836"/>
      <c r="AV69" s="836"/>
      <c r="AW69" s="836"/>
      <c r="AX69" s="836"/>
      <c r="AY69" s="836"/>
      <c r="AZ69" s="836"/>
      <c r="BA69" s="836"/>
      <c r="BB69" s="837"/>
      <c r="BD69" s="423"/>
      <c r="BE69" s="424"/>
      <c r="BF69" s="99"/>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422"/>
      <c r="DC69" s="320"/>
    </row>
    <row r="70" spans="3:107" ht="18" customHeight="1">
      <c r="C70" s="580"/>
      <c r="D70" s="797"/>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36"/>
      <c r="AY70" s="836"/>
      <c r="AZ70" s="836"/>
      <c r="BA70" s="836"/>
      <c r="BB70" s="837"/>
      <c r="BD70" s="423"/>
      <c r="BE70" s="424"/>
      <c r="BF70" s="99"/>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422"/>
      <c r="DC70" s="320"/>
    </row>
    <row r="71" spans="3:107" ht="18" customHeight="1">
      <c r="C71" s="580"/>
      <c r="D71" s="797"/>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798"/>
      <c r="BA71" s="798"/>
      <c r="BB71" s="799"/>
      <c r="BD71" s="423"/>
      <c r="BE71" s="424"/>
      <c r="BF71" s="99"/>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422"/>
      <c r="DC71" s="320"/>
    </row>
    <row r="72" spans="3:107" ht="18" customHeight="1">
      <c r="C72" s="580"/>
      <c r="D72" s="797"/>
      <c r="E72" s="838"/>
      <c r="F72" s="838"/>
      <c r="G72" s="838"/>
      <c r="H72" s="838"/>
      <c r="I72" s="838"/>
      <c r="J72" s="838"/>
      <c r="K72" s="838"/>
      <c r="L72" s="838"/>
      <c r="M72" s="838"/>
      <c r="N72" s="838"/>
      <c r="O72" s="838"/>
      <c r="P72" s="838"/>
      <c r="Q72" s="838"/>
      <c r="R72" s="838"/>
      <c r="S72" s="838"/>
      <c r="T72" s="838"/>
      <c r="U72" s="838"/>
      <c r="V72" s="838"/>
      <c r="W72" s="838"/>
      <c r="X72" s="838"/>
      <c r="Y72" s="838"/>
      <c r="Z72" s="838"/>
      <c r="AA72" s="838"/>
      <c r="AB72" s="838"/>
      <c r="AC72" s="838"/>
      <c r="AD72" s="838"/>
      <c r="AE72" s="838"/>
      <c r="AF72" s="838"/>
      <c r="AG72" s="838"/>
      <c r="AH72" s="838"/>
      <c r="AI72" s="838"/>
      <c r="AJ72" s="838"/>
      <c r="AK72" s="838"/>
      <c r="AL72" s="838"/>
      <c r="AM72" s="838"/>
      <c r="AN72" s="838"/>
      <c r="AO72" s="838"/>
      <c r="AP72" s="838"/>
      <c r="AQ72" s="838"/>
      <c r="AR72" s="838"/>
      <c r="AS72" s="838"/>
      <c r="AT72" s="838"/>
      <c r="AU72" s="838"/>
      <c r="AV72" s="838"/>
      <c r="AW72" s="838"/>
      <c r="AX72" s="838"/>
      <c r="AY72" s="838"/>
      <c r="AZ72" s="838"/>
      <c r="BA72" s="838"/>
      <c r="BB72" s="839"/>
      <c r="BD72" s="423"/>
      <c r="BE72" s="426"/>
      <c r="BF72" s="99"/>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422"/>
      <c r="DC72" s="320"/>
    </row>
    <row r="73" spans="3:107" ht="18" customHeight="1">
      <c r="C73" s="580"/>
      <c r="D73" s="797"/>
      <c r="E73" s="838"/>
      <c r="F73" s="838"/>
      <c r="G73" s="838"/>
      <c r="H73" s="838"/>
      <c r="I73" s="838"/>
      <c r="J73" s="838"/>
      <c r="K73" s="838"/>
      <c r="L73" s="838"/>
      <c r="M73" s="838"/>
      <c r="N73" s="838"/>
      <c r="O73" s="838"/>
      <c r="P73" s="838"/>
      <c r="Q73" s="838"/>
      <c r="R73" s="838"/>
      <c r="S73" s="838"/>
      <c r="T73" s="838"/>
      <c r="U73" s="838"/>
      <c r="V73" s="838"/>
      <c r="W73" s="838"/>
      <c r="X73" s="838"/>
      <c r="Y73" s="838"/>
      <c r="Z73" s="838"/>
      <c r="AA73" s="838"/>
      <c r="AB73" s="838"/>
      <c r="AC73" s="838"/>
      <c r="AD73" s="838"/>
      <c r="AE73" s="838"/>
      <c r="AF73" s="838"/>
      <c r="AG73" s="838"/>
      <c r="AH73" s="838"/>
      <c r="AI73" s="838"/>
      <c r="AJ73" s="838"/>
      <c r="AK73" s="838"/>
      <c r="AL73" s="838"/>
      <c r="AM73" s="838"/>
      <c r="AN73" s="838"/>
      <c r="AO73" s="838"/>
      <c r="AP73" s="838"/>
      <c r="AQ73" s="838"/>
      <c r="AR73" s="838"/>
      <c r="AS73" s="838"/>
      <c r="AT73" s="838"/>
      <c r="AU73" s="838"/>
      <c r="AV73" s="838"/>
      <c r="AW73" s="838"/>
      <c r="AX73" s="838"/>
      <c r="AY73" s="838"/>
      <c r="AZ73" s="838"/>
      <c r="BA73" s="838"/>
      <c r="BB73" s="839"/>
      <c r="DB73" s="422"/>
      <c r="DC73" s="320"/>
    </row>
    <row r="74" spans="3:54" ht="18" customHeight="1">
      <c r="C74" s="580"/>
      <c r="D74" s="797"/>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798"/>
      <c r="BA74" s="798"/>
      <c r="BB74" s="799"/>
    </row>
    <row r="75" spans="3:54" ht="18" customHeight="1">
      <c r="C75" s="580"/>
      <c r="D75" s="797"/>
      <c r="E75" s="798"/>
      <c r="F75" s="798"/>
      <c r="G75" s="798"/>
      <c r="H75" s="798"/>
      <c r="I75" s="798"/>
      <c r="J75" s="798"/>
      <c r="K75" s="798"/>
      <c r="L75" s="798"/>
      <c r="M75" s="798"/>
      <c r="N75" s="798"/>
      <c r="O75" s="798"/>
      <c r="P75" s="798"/>
      <c r="Q75" s="798"/>
      <c r="R75" s="798"/>
      <c r="S75" s="798"/>
      <c r="T75" s="798"/>
      <c r="U75" s="798"/>
      <c r="V75" s="798"/>
      <c r="W75" s="798"/>
      <c r="X75" s="798"/>
      <c r="Y75" s="798"/>
      <c r="Z75" s="798"/>
      <c r="AA75" s="798"/>
      <c r="AB75" s="798"/>
      <c r="AC75" s="798"/>
      <c r="AD75" s="798"/>
      <c r="AE75" s="798"/>
      <c r="AF75" s="798"/>
      <c r="AG75" s="798"/>
      <c r="AH75" s="798"/>
      <c r="AI75" s="798"/>
      <c r="AJ75" s="798"/>
      <c r="AK75" s="798"/>
      <c r="AL75" s="798"/>
      <c r="AM75" s="798"/>
      <c r="AN75" s="798"/>
      <c r="AO75" s="798"/>
      <c r="AP75" s="798"/>
      <c r="AQ75" s="798"/>
      <c r="AR75" s="798"/>
      <c r="AS75" s="798"/>
      <c r="AT75" s="798"/>
      <c r="AU75" s="798"/>
      <c r="AV75" s="798"/>
      <c r="AW75" s="798"/>
      <c r="AX75" s="798"/>
      <c r="AY75" s="798"/>
      <c r="AZ75" s="798"/>
      <c r="BA75" s="798"/>
      <c r="BB75" s="799"/>
    </row>
    <row r="76" spans="3:54" ht="18" customHeight="1">
      <c r="C76" s="580"/>
      <c r="D76" s="797"/>
      <c r="E76" s="836"/>
      <c r="F76" s="836"/>
      <c r="G76" s="836"/>
      <c r="H76" s="836"/>
      <c r="I76" s="836"/>
      <c r="J76" s="836"/>
      <c r="K76" s="836"/>
      <c r="L76" s="836"/>
      <c r="M76" s="836"/>
      <c r="N76" s="836"/>
      <c r="O76" s="836"/>
      <c r="P76" s="836"/>
      <c r="Q76" s="836"/>
      <c r="R76" s="836"/>
      <c r="S76" s="836"/>
      <c r="T76" s="836"/>
      <c r="U76" s="836"/>
      <c r="V76" s="836"/>
      <c r="W76" s="836"/>
      <c r="X76" s="836"/>
      <c r="Y76" s="836"/>
      <c r="Z76" s="836"/>
      <c r="AA76" s="836"/>
      <c r="AB76" s="836"/>
      <c r="AC76" s="836"/>
      <c r="AD76" s="836"/>
      <c r="AE76" s="836"/>
      <c r="AF76" s="836"/>
      <c r="AG76" s="836"/>
      <c r="AH76" s="836"/>
      <c r="AI76" s="836"/>
      <c r="AJ76" s="836"/>
      <c r="AK76" s="836"/>
      <c r="AL76" s="836"/>
      <c r="AM76" s="836"/>
      <c r="AN76" s="836"/>
      <c r="AO76" s="836"/>
      <c r="AP76" s="836"/>
      <c r="AQ76" s="836"/>
      <c r="AR76" s="836"/>
      <c r="AS76" s="836"/>
      <c r="AT76" s="836"/>
      <c r="AU76" s="836"/>
      <c r="AV76" s="836"/>
      <c r="AW76" s="836"/>
      <c r="AX76" s="836"/>
      <c r="AY76" s="836"/>
      <c r="AZ76" s="836"/>
      <c r="BA76" s="836"/>
      <c r="BB76" s="837"/>
    </row>
    <row r="77" spans="3:54" ht="18" customHeight="1">
      <c r="C77" s="580"/>
      <c r="D77" s="797"/>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8"/>
      <c r="AN77" s="798"/>
      <c r="AO77" s="798"/>
      <c r="AP77" s="798"/>
      <c r="AQ77" s="798"/>
      <c r="AR77" s="798"/>
      <c r="AS77" s="798"/>
      <c r="AT77" s="798"/>
      <c r="AU77" s="798"/>
      <c r="AV77" s="798"/>
      <c r="AW77" s="798"/>
      <c r="AX77" s="798"/>
      <c r="AY77" s="798"/>
      <c r="AZ77" s="798"/>
      <c r="BA77" s="798"/>
      <c r="BB77" s="799"/>
    </row>
    <row r="78" spans="3:54" ht="18" customHeight="1">
      <c r="C78" s="580"/>
      <c r="D78" s="797"/>
      <c r="E78" s="798"/>
      <c r="F78" s="798"/>
      <c r="G78" s="798"/>
      <c r="H78" s="798"/>
      <c r="I78" s="798"/>
      <c r="J78" s="798"/>
      <c r="K78" s="798"/>
      <c r="L78" s="798"/>
      <c r="M78" s="798"/>
      <c r="N78" s="798"/>
      <c r="O78" s="798"/>
      <c r="P78" s="798"/>
      <c r="Q78" s="798"/>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798"/>
      <c r="BA78" s="798"/>
      <c r="BB78" s="799"/>
    </row>
    <row r="79" spans="3:54" ht="18" customHeight="1">
      <c r="C79" s="580"/>
      <c r="D79" s="797"/>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798"/>
      <c r="BA79" s="798"/>
      <c r="BB79" s="799"/>
    </row>
    <row r="80" spans="3:54" ht="18" customHeight="1">
      <c r="C80" s="580"/>
      <c r="D80" s="797"/>
      <c r="E80" s="836"/>
      <c r="F80" s="836"/>
      <c r="G80" s="836"/>
      <c r="H80" s="836"/>
      <c r="I80" s="836"/>
      <c r="J80" s="836"/>
      <c r="K80" s="836"/>
      <c r="L80" s="836"/>
      <c r="M80" s="836"/>
      <c r="N80" s="836"/>
      <c r="O80" s="836"/>
      <c r="P80" s="836"/>
      <c r="Q80" s="83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6"/>
      <c r="BA80" s="836"/>
      <c r="BB80" s="837"/>
    </row>
    <row r="81" spans="3:54" ht="18" customHeight="1">
      <c r="C81" s="580"/>
      <c r="D81" s="797"/>
      <c r="E81" s="798"/>
      <c r="F81" s="798"/>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798"/>
      <c r="BA81" s="798"/>
      <c r="BB81" s="799"/>
    </row>
    <row r="82" spans="3:54" ht="18" customHeight="1">
      <c r="C82" s="580"/>
      <c r="D82" s="797"/>
      <c r="E82" s="798"/>
      <c r="F82" s="798"/>
      <c r="G82" s="798"/>
      <c r="H82" s="798"/>
      <c r="I82" s="798"/>
      <c r="J82" s="798"/>
      <c r="K82" s="798"/>
      <c r="L82" s="798"/>
      <c r="M82" s="798"/>
      <c r="N82" s="798"/>
      <c r="O82" s="798"/>
      <c r="P82" s="798"/>
      <c r="Q82" s="798"/>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798"/>
      <c r="BA82" s="798"/>
      <c r="BB82" s="799"/>
    </row>
    <row r="83" spans="3:54" ht="18" customHeight="1">
      <c r="C83" s="580"/>
      <c r="D83" s="797"/>
      <c r="E83" s="798"/>
      <c r="F83" s="798"/>
      <c r="G83" s="798"/>
      <c r="H83" s="798"/>
      <c r="I83" s="798"/>
      <c r="J83" s="798"/>
      <c r="K83" s="798"/>
      <c r="L83" s="798"/>
      <c r="M83" s="798"/>
      <c r="N83" s="798"/>
      <c r="O83" s="798"/>
      <c r="P83" s="798"/>
      <c r="Q83" s="798"/>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798"/>
      <c r="BA83" s="798"/>
      <c r="BB83" s="799"/>
    </row>
    <row r="84" spans="3:54" ht="18" customHeight="1">
      <c r="C84" s="580"/>
      <c r="D84" s="797"/>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798"/>
      <c r="BA84" s="798"/>
      <c r="BB84" s="799"/>
    </row>
    <row r="85" spans="3:54" ht="18" customHeight="1">
      <c r="C85" s="580"/>
      <c r="D85" s="797"/>
      <c r="E85" s="798"/>
      <c r="F85" s="798"/>
      <c r="G85" s="798"/>
      <c r="H85" s="798"/>
      <c r="I85" s="798"/>
      <c r="J85" s="798"/>
      <c r="K85" s="798"/>
      <c r="L85" s="798"/>
      <c r="M85" s="798"/>
      <c r="N85" s="798"/>
      <c r="O85" s="798"/>
      <c r="P85" s="798"/>
      <c r="Q85" s="798"/>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798"/>
      <c r="BA85" s="798"/>
      <c r="BB85" s="799"/>
    </row>
    <row r="86" spans="3:105" ht="18" customHeight="1">
      <c r="C86" s="575"/>
      <c r="D86" s="800"/>
      <c r="E86" s="834"/>
      <c r="F86" s="834"/>
      <c r="G86" s="834"/>
      <c r="H86" s="834"/>
      <c r="I86" s="834"/>
      <c r="J86" s="834"/>
      <c r="K86" s="834"/>
      <c r="L86" s="834"/>
      <c r="M86" s="834"/>
      <c r="N86" s="834"/>
      <c r="O86" s="834"/>
      <c r="P86" s="834"/>
      <c r="Q86" s="834"/>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4"/>
      <c r="BA86" s="834"/>
      <c r="BB86" s="835"/>
      <c r="BD86" s="688"/>
      <c r="BE86" s="688"/>
      <c r="BF86" s="688"/>
      <c r="BG86" s="688"/>
      <c r="BH86" s="688"/>
      <c r="BI86" s="688"/>
      <c r="BJ86" s="688"/>
      <c r="BK86" s="688"/>
      <c r="BL86" s="688"/>
      <c r="BM86" s="688"/>
      <c r="BN86" s="688"/>
      <c r="BO86" s="688"/>
      <c r="BP86" s="688"/>
      <c r="BQ86" s="688"/>
      <c r="BR86" s="688"/>
      <c r="BS86" s="688"/>
      <c r="BT86" s="688"/>
      <c r="BU86" s="688"/>
      <c r="BV86" s="688"/>
      <c r="BW86" s="688"/>
      <c r="BX86" s="688"/>
      <c r="BY86" s="688"/>
      <c r="BZ86" s="688"/>
      <c r="CA86" s="688"/>
      <c r="CB86" s="688"/>
      <c r="CC86" s="688"/>
      <c r="CD86" s="688"/>
      <c r="CE86" s="688"/>
      <c r="CF86" s="688"/>
      <c r="CG86" s="688"/>
      <c r="CH86" s="688"/>
      <c r="CI86" s="688"/>
      <c r="CJ86" s="688"/>
      <c r="CK86" s="688"/>
      <c r="CL86" s="688"/>
      <c r="CM86" s="688"/>
      <c r="CN86" s="688"/>
      <c r="CO86" s="688"/>
      <c r="CP86" s="688"/>
      <c r="CQ86" s="688"/>
      <c r="CR86" s="688"/>
      <c r="CS86" s="688"/>
      <c r="CT86" s="688"/>
      <c r="CU86" s="688"/>
      <c r="CV86" s="688"/>
      <c r="CW86" s="688"/>
      <c r="CX86" s="688"/>
      <c r="CY86" s="688"/>
      <c r="CZ86" s="688"/>
      <c r="DA86" s="688"/>
    </row>
    <row r="87" spans="56:105" ht="16.5" customHeight="1">
      <c r="BD87" s="688"/>
      <c r="BE87" s="688"/>
      <c r="BF87" s="688"/>
      <c r="BG87" s="688"/>
      <c r="BH87" s="688"/>
      <c r="BI87" s="688"/>
      <c r="BJ87" s="688"/>
      <c r="BK87" s="688"/>
      <c r="BL87" s="688"/>
      <c r="BM87" s="688"/>
      <c r="BN87" s="688"/>
      <c r="BO87" s="688"/>
      <c r="BP87" s="688"/>
      <c r="BQ87" s="688"/>
      <c r="BR87" s="688"/>
      <c r="BS87" s="688"/>
      <c r="BT87" s="688"/>
      <c r="BU87" s="688"/>
      <c r="BV87" s="688"/>
      <c r="BW87" s="688"/>
      <c r="BX87" s="688"/>
      <c r="BY87" s="688"/>
      <c r="BZ87" s="688"/>
      <c r="CA87" s="688"/>
      <c r="CB87" s="688"/>
      <c r="CC87" s="688"/>
      <c r="CD87" s="688"/>
      <c r="CE87" s="688"/>
      <c r="CF87" s="688"/>
      <c r="CG87" s="688"/>
      <c r="CH87" s="688"/>
      <c r="CI87" s="688"/>
      <c r="CJ87" s="688"/>
      <c r="CK87" s="688"/>
      <c r="CL87" s="688"/>
      <c r="CM87" s="688"/>
      <c r="CN87" s="688"/>
      <c r="CO87" s="688"/>
      <c r="CP87" s="688"/>
      <c r="CQ87" s="688"/>
      <c r="CR87" s="688"/>
      <c r="CS87" s="688"/>
      <c r="CT87" s="688"/>
      <c r="CU87" s="688"/>
      <c r="CV87" s="688"/>
      <c r="CW87" s="688"/>
      <c r="CX87" s="688"/>
      <c r="CY87" s="688"/>
      <c r="CZ87" s="688"/>
      <c r="DA87" s="688"/>
    </row>
    <row r="88" spans="1:105" ht="12.75">
      <c r="A88" s="431"/>
      <c r="B88" s="432"/>
      <c r="BD88" s="688"/>
      <c r="BE88" s="688"/>
      <c r="BF88" s="688"/>
      <c r="BG88" s="688"/>
      <c r="BH88" s="688"/>
      <c r="BI88" s="688"/>
      <c r="BJ88" s="688"/>
      <c r="BK88" s="688"/>
      <c r="BL88" s="688"/>
      <c r="BM88" s="688"/>
      <c r="BN88" s="688"/>
      <c r="BO88" s="688"/>
      <c r="BP88" s="688"/>
      <c r="BQ88" s="688"/>
      <c r="BR88" s="688"/>
      <c r="BS88" s="688"/>
      <c r="BT88" s="688"/>
      <c r="BU88" s="688"/>
      <c r="BV88" s="688"/>
      <c r="BW88" s="688"/>
      <c r="BX88" s="688"/>
      <c r="BY88" s="688"/>
      <c r="BZ88" s="688"/>
      <c r="CA88" s="688"/>
      <c r="CB88" s="688"/>
      <c r="CC88" s="688"/>
      <c r="CD88" s="688"/>
      <c r="CE88" s="688"/>
      <c r="CF88" s="688"/>
      <c r="CG88" s="688"/>
      <c r="CH88" s="688"/>
      <c r="CI88" s="688"/>
      <c r="CJ88" s="688"/>
      <c r="CK88" s="688"/>
      <c r="CL88" s="688"/>
      <c r="CM88" s="688"/>
      <c r="CN88" s="688"/>
      <c r="CO88" s="688"/>
      <c r="CP88" s="688"/>
      <c r="CQ88" s="688"/>
      <c r="CR88" s="688"/>
      <c r="CS88" s="688"/>
      <c r="CT88" s="688"/>
      <c r="CU88" s="688"/>
      <c r="CV88" s="688"/>
      <c r="CW88" s="688"/>
      <c r="CX88" s="688"/>
      <c r="CY88" s="688"/>
      <c r="CZ88" s="688"/>
      <c r="DA88" s="688"/>
    </row>
    <row r="89" spans="1:105" ht="12.75">
      <c r="A89" s="431"/>
      <c r="B89" s="432"/>
      <c r="BD89" s="688"/>
      <c r="BE89" s="688"/>
      <c r="BF89" s="688"/>
      <c r="BG89" s="688"/>
      <c r="BH89" s="688"/>
      <c r="BI89" s="688"/>
      <c r="BJ89" s="688"/>
      <c r="BK89" s="688"/>
      <c r="BL89" s="688"/>
      <c r="BM89" s="688"/>
      <c r="BN89" s="688"/>
      <c r="BO89" s="688"/>
      <c r="BP89" s="688"/>
      <c r="BQ89" s="688"/>
      <c r="BR89" s="688"/>
      <c r="BS89" s="688"/>
      <c r="BT89" s="688"/>
      <c r="BU89" s="688"/>
      <c r="BV89" s="688"/>
      <c r="BW89" s="688"/>
      <c r="BX89" s="688"/>
      <c r="BY89" s="688"/>
      <c r="BZ89" s="688"/>
      <c r="CA89" s="688"/>
      <c r="CB89" s="688"/>
      <c r="CC89" s="688"/>
      <c r="CD89" s="688"/>
      <c r="CE89" s="688"/>
      <c r="CF89" s="688"/>
      <c r="CG89" s="688"/>
      <c r="CH89" s="688"/>
      <c r="CI89" s="688"/>
      <c r="CJ89" s="688"/>
      <c r="CK89" s="688"/>
      <c r="CL89" s="688"/>
      <c r="CM89" s="688"/>
      <c r="CN89" s="688"/>
      <c r="CO89" s="688"/>
      <c r="CP89" s="688"/>
      <c r="CQ89" s="688"/>
      <c r="CR89" s="688"/>
      <c r="CS89" s="688"/>
      <c r="CT89" s="688"/>
      <c r="CU89" s="688"/>
      <c r="CV89" s="688"/>
      <c r="CW89" s="688"/>
      <c r="CX89" s="688"/>
      <c r="CY89" s="688"/>
      <c r="CZ89" s="688"/>
      <c r="DA89" s="688"/>
    </row>
    <row r="90" spans="1:2" ht="12.75">
      <c r="A90" s="431"/>
      <c r="B90" s="432"/>
    </row>
  </sheetData>
  <sheetProtection sheet="1" objects="1" scenarios="1" formatCells="0" formatColumns="0" formatRows="0" insertColumns="0"/>
  <mergeCells count="46">
    <mergeCell ref="AA61:AJ61"/>
    <mergeCell ref="L49:N57"/>
    <mergeCell ref="Q49:S57"/>
    <mergeCell ref="AA49:AJ49"/>
    <mergeCell ref="D82:BB82"/>
    <mergeCell ref="D83:BB83"/>
    <mergeCell ref="F51:H51"/>
    <mergeCell ref="D65:BB65"/>
    <mergeCell ref="D66:BB66"/>
    <mergeCell ref="D67:BB67"/>
    <mergeCell ref="D84:BB84"/>
    <mergeCell ref="D68:BB68"/>
    <mergeCell ref="D70:BB70"/>
    <mergeCell ref="D69:BB69"/>
    <mergeCell ref="D80:BB80"/>
    <mergeCell ref="D73:BB73"/>
    <mergeCell ref="D72:BB72"/>
    <mergeCell ref="D85:BB85"/>
    <mergeCell ref="D86:BB86"/>
    <mergeCell ref="D71:BB71"/>
    <mergeCell ref="D74:BB74"/>
    <mergeCell ref="D75:BB75"/>
    <mergeCell ref="D77:BB77"/>
    <mergeCell ref="D78:BB78"/>
    <mergeCell ref="D81:BB81"/>
    <mergeCell ref="D79:BB79"/>
    <mergeCell ref="D76:BB76"/>
    <mergeCell ref="AA55:AJ55"/>
    <mergeCell ref="AA57:AJ57"/>
    <mergeCell ref="E45:H45"/>
    <mergeCell ref="C5:AM5"/>
    <mergeCell ref="D40:BB40"/>
    <mergeCell ref="D41:BB41"/>
    <mergeCell ref="D42:BB42"/>
    <mergeCell ref="D43:BB43"/>
    <mergeCell ref="D44:BB44"/>
    <mergeCell ref="AB58:AJ58"/>
    <mergeCell ref="AA59:AJ59"/>
    <mergeCell ref="D64:BB64"/>
    <mergeCell ref="F47:H48"/>
    <mergeCell ref="F58:H60"/>
    <mergeCell ref="N59:P60"/>
    <mergeCell ref="AK47:AM52"/>
    <mergeCell ref="U48:V49"/>
    <mergeCell ref="AA51:AJ51"/>
    <mergeCell ref="AA53:AJ53"/>
  </mergeCells>
  <conditionalFormatting sqref="F28">
    <cfRule type="cellIs" priority="170" dxfId="366" operator="lessThan" stopIfTrue="1">
      <formula>0.99*(F26-F27)</formula>
    </cfRule>
  </conditionalFormatting>
  <conditionalFormatting sqref="F10">
    <cfRule type="cellIs" priority="171" dxfId="366" operator="lessThan" stopIfTrue="1">
      <formula>F8+F9-(0.01*(F8+F9))</formula>
    </cfRule>
  </conditionalFormatting>
  <conditionalFormatting sqref="F26">
    <cfRule type="cellIs" priority="172" dxfId="366" operator="lessThan" stopIfTrue="1">
      <formula>F10+F22+F23+F24-F25-(0.01*(F10+F22+F23+F24-F25))</formula>
    </cfRule>
  </conditionalFormatting>
  <conditionalFormatting sqref="H28">
    <cfRule type="cellIs" priority="167" dxfId="366" operator="lessThan" stopIfTrue="1">
      <formula>0.99*(H26-H27)</formula>
    </cfRule>
  </conditionalFormatting>
  <conditionalFormatting sqref="H10">
    <cfRule type="cellIs" priority="168" dxfId="366" operator="lessThan" stopIfTrue="1">
      <formula>H8+H9-(0.01*(H8+H9))</formula>
    </cfRule>
  </conditionalFormatting>
  <conditionalFormatting sqref="H26">
    <cfRule type="cellIs" priority="169" dxfId="366" operator="lessThan" stopIfTrue="1">
      <formula>H10+H22+H23+H24-H25-(0.01*(H10+H22+H23+H24-H25))</formula>
    </cfRule>
  </conditionalFormatting>
  <conditionalFormatting sqref="J28">
    <cfRule type="cellIs" priority="164" dxfId="366" operator="lessThan" stopIfTrue="1">
      <formula>0.99*(J26-J27)</formula>
    </cfRule>
  </conditionalFormatting>
  <conditionalFormatting sqref="J10">
    <cfRule type="cellIs" priority="165" dxfId="366" operator="lessThan" stopIfTrue="1">
      <formula>J8+J9-(0.01*(J8+J9))</formula>
    </cfRule>
  </conditionalFormatting>
  <conditionalFormatting sqref="J26">
    <cfRule type="cellIs" priority="166" dxfId="366" operator="lessThan" stopIfTrue="1">
      <formula>J10+J22+J23+J24-J25-(0.01*(J10+J22+J23+J24-J25))</formula>
    </cfRule>
  </conditionalFormatting>
  <conditionalFormatting sqref="L28">
    <cfRule type="cellIs" priority="161" dxfId="366" operator="lessThan" stopIfTrue="1">
      <formula>0.99*(L26-L27)</formula>
    </cfRule>
  </conditionalFormatting>
  <conditionalFormatting sqref="L10">
    <cfRule type="cellIs" priority="162" dxfId="366" operator="lessThan" stopIfTrue="1">
      <formula>L8+L9-(0.01*(L8+L9))</formula>
    </cfRule>
  </conditionalFormatting>
  <conditionalFormatting sqref="L26">
    <cfRule type="cellIs" priority="163" dxfId="366" operator="lessThan" stopIfTrue="1">
      <formula>L10+L22+L23+L24-L25-(0.01*(L10+L22+L23+L24-L25))</formula>
    </cfRule>
  </conditionalFormatting>
  <conditionalFormatting sqref="P28">
    <cfRule type="cellIs" priority="158" dxfId="366" operator="lessThan" stopIfTrue="1">
      <formula>0.99*(P26-P27)</formula>
    </cfRule>
  </conditionalFormatting>
  <conditionalFormatting sqref="P10">
    <cfRule type="cellIs" priority="159" dxfId="366" operator="lessThan" stopIfTrue="1">
      <formula>P8+P9-(0.01*(P8+P9))</formula>
    </cfRule>
  </conditionalFormatting>
  <conditionalFormatting sqref="P26">
    <cfRule type="cellIs" priority="160" dxfId="366" operator="lessThan" stopIfTrue="1">
      <formula>P10+P22+P23+P24-P25-(0.01*(P10+P22+P23+P24-P25))</formula>
    </cfRule>
  </conditionalFormatting>
  <conditionalFormatting sqref="R28">
    <cfRule type="cellIs" priority="155" dxfId="366" operator="lessThan" stopIfTrue="1">
      <formula>0.99*(R26-R27)</formula>
    </cfRule>
  </conditionalFormatting>
  <conditionalFormatting sqref="R10">
    <cfRule type="cellIs" priority="156" dxfId="366" operator="lessThan" stopIfTrue="1">
      <formula>R8+R9-(0.01*(R8+R9))</formula>
    </cfRule>
  </conditionalFormatting>
  <conditionalFormatting sqref="R26">
    <cfRule type="cellIs" priority="157" dxfId="366" operator="lessThan" stopIfTrue="1">
      <formula>R10+R22+R23+R24-R25-(0.01*(R10+R22+R23+R24-R25))</formula>
    </cfRule>
  </conditionalFormatting>
  <conditionalFormatting sqref="T28">
    <cfRule type="cellIs" priority="152" dxfId="366" operator="lessThan" stopIfTrue="1">
      <formula>0.99*(T26-T27)</formula>
    </cfRule>
  </conditionalFormatting>
  <conditionalFormatting sqref="T10">
    <cfRule type="cellIs" priority="153" dxfId="366" operator="lessThan" stopIfTrue="1">
      <formula>T8+T9-(0.01*(T8+T9))</formula>
    </cfRule>
  </conditionalFormatting>
  <conditionalFormatting sqref="T26">
    <cfRule type="cellIs" priority="154" dxfId="366" operator="lessThan" stopIfTrue="1">
      <formula>T10+T22+T23+T24-T25-(0.01*(T10+T22+T23+T24-T25))</formula>
    </cfRule>
  </conditionalFormatting>
  <conditionalFormatting sqref="V28">
    <cfRule type="cellIs" priority="149" dxfId="366" operator="lessThan" stopIfTrue="1">
      <formula>0.99*(V26-V27)</formula>
    </cfRule>
  </conditionalFormatting>
  <conditionalFormatting sqref="V10">
    <cfRule type="cellIs" priority="150" dxfId="366" operator="lessThan" stopIfTrue="1">
      <formula>V8+V9-(0.01*(V8+V9))</formula>
    </cfRule>
  </conditionalFormatting>
  <conditionalFormatting sqref="V26">
    <cfRule type="cellIs" priority="151" dxfId="366" operator="lessThan" stopIfTrue="1">
      <formula>V10+V22+V23+V24-V25-(0.01*(V10+V22+V23+V24-V25))</formula>
    </cfRule>
  </conditionalFormatting>
  <conditionalFormatting sqref="X28">
    <cfRule type="cellIs" priority="146" dxfId="366" operator="lessThan" stopIfTrue="1">
      <formula>0.99*(X26-X27)</formula>
    </cfRule>
  </conditionalFormatting>
  <conditionalFormatting sqref="X10">
    <cfRule type="cellIs" priority="147" dxfId="366" operator="lessThan" stopIfTrue="1">
      <formula>X8+X9-(0.01*(X8+X9))</formula>
    </cfRule>
  </conditionalFormatting>
  <conditionalFormatting sqref="X26">
    <cfRule type="cellIs" priority="148" dxfId="366" operator="lessThan" stopIfTrue="1">
      <formula>X10+X22+X23+X24-X25-(0.01*(X10+X22+X23+X24-X25))</formula>
    </cfRule>
  </conditionalFormatting>
  <conditionalFormatting sqref="Z28">
    <cfRule type="cellIs" priority="143" dxfId="366" operator="lessThan" stopIfTrue="1">
      <formula>0.99*(Z26-Z27)</formula>
    </cfRule>
  </conditionalFormatting>
  <conditionalFormatting sqref="Z10">
    <cfRule type="cellIs" priority="144" dxfId="366" operator="lessThan" stopIfTrue="1">
      <formula>Z8+Z9-(0.01*(Z8+Z9))</formula>
    </cfRule>
  </conditionalFormatting>
  <conditionalFormatting sqref="Z26">
    <cfRule type="cellIs" priority="145" dxfId="366" operator="lessThan" stopIfTrue="1">
      <formula>Z10+Z22+Z23+Z24-Z25-(0.01*(Z10+Z22+Z23+Z24-Z25))</formula>
    </cfRule>
  </conditionalFormatting>
  <conditionalFormatting sqref="AB28">
    <cfRule type="cellIs" priority="140" dxfId="366" operator="lessThan" stopIfTrue="1">
      <formula>0.99*(AB26-AB27)</formula>
    </cfRule>
  </conditionalFormatting>
  <conditionalFormatting sqref="AB10">
    <cfRule type="cellIs" priority="141" dxfId="366" operator="lessThan" stopIfTrue="1">
      <formula>AB8+AB9-(0.01*(AB8+AB9))</formula>
    </cfRule>
  </conditionalFormatting>
  <conditionalFormatting sqref="AB26">
    <cfRule type="cellIs" priority="142" dxfId="366" operator="lessThan" stopIfTrue="1">
      <formula>AB10+AB22+AB23+AB24-AB25-(0.01*(AB10+AB22+AB23+AB24-AB25))</formula>
    </cfRule>
  </conditionalFormatting>
  <conditionalFormatting sqref="AD28">
    <cfRule type="cellIs" priority="137" dxfId="366" operator="lessThan" stopIfTrue="1">
      <formula>0.99*(AD26-AD27)</formula>
    </cfRule>
  </conditionalFormatting>
  <conditionalFormatting sqref="AD10">
    <cfRule type="cellIs" priority="138" dxfId="366" operator="lessThan" stopIfTrue="1">
      <formula>AD8+AD9-(0.01*(AD8+AD9))</formula>
    </cfRule>
  </conditionalFormatting>
  <conditionalFormatting sqref="AD26">
    <cfRule type="cellIs" priority="139" dxfId="366" operator="lessThan" stopIfTrue="1">
      <formula>AD10+AD22+AD23+AD24-AD25-(0.01*(AD10+AD22+AD23+AD24-AD25))</formula>
    </cfRule>
  </conditionalFormatting>
  <conditionalFormatting sqref="AJ28">
    <cfRule type="cellIs" priority="131" dxfId="366" operator="lessThan" stopIfTrue="1">
      <formula>0.99*(AJ26-AJ27)</formula>
    </cfRule>
  </conditionalFormatting>
  <conditionalFormatting sqref="AJ10">
    <cfRule type="cellIs" priority="132" dxfId="366" operator="lessThan" stopIfTrue="1">
      <formula>AJ8+AJ9-(0.01*(AJ8+AJ9))</formula>
    </cfRule>
  </conditionalFormatting>
  <conditionalFormatting sqref="AJ26">
    <cfRule type="cellIs" priority="133" dxfId="366" operator="lessThan" stopIfTrue="1">
      <formula>AJ10+AJ22+AJ23+AJ24-AJ25-(0.01*(AJ10+AJ22+AJ23+AJ24-AJ25))</formula>
    </cfRule>
  </conditionalFormatting>
  <conditionalFormatting sqref="AH28">
    <cfRule type="cellIs" priority="134" dxfId="366" operator="lessThan" stopIfTrue="1">
      <formula>0.99*(AH26-AH27)</formula>
    </cfRule>
  </conditionalFormatting>
  <conditionalFormatting sqref="AH10">
    <cfRule type="cellIs" priority="135" dxfId="366" operator="lessThan" stopIfTrue="1">
      <formula>AH8+AH9-(0.01*(AH8+AH9))</formula>
    </cfRule>
  </conditionalFormatting>
  <conditionalFormatting sqref="AH26">
    <cfRule type="cellIs" priority="136" dxfId="366" operator="lessThan" stopIfTrue="1">
      <formula>AH10+AH22+AH23+AH24-AH25-(0.01*(AH10+AH22+AH23+AH24-AH25))</formula>
    </cfRule>
  </conditionalFormatting>
  <conditionalFormatting sqref="AL28">
    <cfRule type="cellIs" priority="128" dxfId="366" operator="lessThan" stopIfTrue="1">
      <formula>0.99*(AL26-AL27)</formula>
    </cfRule>
  </conditionalFormatting>
  <conditionalFormatting sqref="AL10">
    <cfRule type="cellIs" priority="129" dxfId="366" operator="lessThan" stopIfTrue="1">
      <formula>AL8+AL9-(0.01*(AL8+AL9))</formula>
    </cfRule>
  </conditionalFormatting>
  <conditionalFormatting sqref="AL26">
    <cfRule type="cellIs" priority="130" dxfId="366" operator="lessThan" stopIfTrue="1">
      <formula>AL10+AL22+AL23+AL24-AL25-(0.01*(AL10+AL22+AL23+AL24-AL25))</formula>
    </cfRule>
  </conditionalFormatting>
  <conditionalFormatting sqref="AN28">
    <cfRule type="cellIs" priority="125" dxfId="366" operator="lessThan" stopIfTrue="1">
      <formula>0.99*(AN26-AN27)</formula>
    </cfRule>
  </conditionalFormatting>
  <conditionalFormatting sqref="AN10">
    <cfRule type="cellIs" priority="126" dxfId="366" operator="lessThan" stopIfTrue="1">
      <formula>AN8+AN9-(0.01*(AN8+AN9))</formula>
    </cfRule>
  </conditionalFormatting>
  <conditionalFormatting sqref="AN26">
    <cfRule type="cellIs" priority="127" dxfId="366" operator="lessThan" stopIfTrue="1">
      <formula>AN10+AN22+AN23+AN24-AN25-(0.01*(AN10+AN22+AN23+AN24-AN25))</formula>
    </cfRule>
  </conditionalFormatting>
  <conditionalFormatting sqref="AP28">
    <cfRule type="cellIs" priority="122" dxfId="366" operator="lessThan" stopIfTrue="1">
      <formula>0.99*(AP26-AP27)</formula>
    </cfRule>
  </conditionalFormatting>
  <conditionalFormatting sqref="AP10">
    <cfRule type="cellIs" priority="123" dxfId="366" operator="lessThan" stopIfTrue="1">
      <formula>AP8+AP9-(0.01*(AP8+AP9))</formula>
    </cfRule>
  </conditionalFormatting>
  <conditionalFormatting sqref="AP26">
    <cfRule type="cellIs" priority="124" dxfId="366" operator="lessThan" stopIfTrue="1">
      <formula>AP10+AP22+AP23+AP24-AP25-(0.01*(AP10+AP22+AP23+AP24-AP25))</formula>
    </cfRule>
  </conditionalFormatting>
  <conditionalFormatting sqref="AR28">
    <cfRule type="cellIs" priority="119" dxfId="366" operator="lessThan" stopIfTrue="1">
      <formula>0.99*(AR26-AR27)</formula>
    </cfRule>
  </conditionalFormatting>
  <conditionalFormatting sqref="AR10">
    <cfRule type="cellIs" priority="120" dxfId="366" operator="lessThan" stopIfTrue="1">
      <formula>AR8+AR9-(0.01*(AR8+AR9))</formula>
    </cfRule>
  </conditionalFormatting>
  <conditionalFormatting sqref="AR26">
    <cfRule type="cellIs" priority="121" dxfId="366" operator="lessThan" stopIfTrue="1">
      <formula>AR10+AR22+AR23+AR24-AR25-(0.01*(AR10+AR22+AR23+AR24-AR25))</formula>
    </cfRule>
  </conditionalFormatting>
  <conditionalFormatting sqref="AT28">
    <cfRule type="cellIs" priority="116" dxfId="366" operator="lessThan" stopIfTrue="1">
      <formula>0.99*(AT26-AT27)</formula>
    </cfRule>
  </conditionalFormatting>
  <conditionalFormatting sqref="AT10">
    <cfRule type="cellIs" priority="117" dxfId="366" operator="lessThan" stopIfTrue="1">
      <formula>AT8+AT9-(0.01*(AT8+AT9))</formula>
    </cfRule>
  </conditionalFormatting>
  <conditionalFormatting sqref="AT26">
    <cfRule type="cellIs" priority="118" dxfId="366" operator="lessThan" stopIfTrue="1">
      <formula>AT10+AT22+AT23+AT24-AT25-(0.01*(AT10+AT22+AT23+AT24-AT25))</formula>
    </cfRule>
  </conditionalFormatting>
  <conditionalFormatting sqref="AZ28">
    <cfRule type="cellIs" priority="113" dxfId="366" operator="lessThan" stopIfTrue="1">
      <formula>0.99*(AZ26-AZ27)</formula>
    </cfRule>
  </conditionalFormatting>
  <conditionalFormatting sqref="AZ10">
    <cfRule type="cellIs" priority="114" dxfId="366" operator="lessThan" stopIfTrue="1">
      <formula>AZ8+AZ9-(0.01*(AZ8+AZ9))</formula>
    </cfRule>
  </conditionalFormatting>
  <conditionalFormatting sqref="AZ26">
    <cfRule type="cellIs" priority="115" dxfId="366" operator="lessThan" stopIfTrue="1">
      <formula>AZ10+AZ22+AZ23+AZ24-AZ25-(0.01*(AZ10+AZ22+AZ23+AZ24-AZ25))</formula>
    </cfRule>
  </conditionalFormatting>
  <conditionalFormatting sqref="AF28">
    <cfRule type="cellIs" priority="110" dxfId="366" operator="lessThan" stopIfTrue="1">
      <formula>0.99*(AF26-AF27)</formula>
    </cfRule>
  </conditionalFormatting>
  <conditionalFormatting sqref="AF10">
    <cfRule type="cellIs" priority="111" dxfId="366" operator="lessThan" stopIfTrue="1">
      <formula>AF8+AF9-(0.01*(AF8+AF9))</formula>
    </cfRule>
  </conditionalFormatting>
  <conditionalFormatting sqref="AF26">
    <cfRule type="cellIs" priority="112" dxfId="366" operator="lessThan" stopIfTrue="1">
      <formula>AF10+AF22+AF23+AF24-AF25-(0.01*(AF10+AF22+AF23+AF24-AF25))</formula>
    </cfRule>
  </conditionalFormatting>
  <conditionalFormatting sqref="N28">
    <cfRule type="cellIs" priority="107" dxfId="366" operator="lessThan" stopIfTrue="1">
      <formula>0.99*(N26-N27)</formula>
    </cfRule>
  </conditionalFormatting>
  <conditionalFormatting sqref="N10">
    <cfRule type="cellIs" priority="108" dxfId="366" operator="lessThan" stopIfTrue="1">
      <formula>N8+N9-(0.01*(N8+N9))</formula>
    </cfRule>
  </conditionalFormatting>
  <conditionalFormatting sqref="N26">
    <cfRule type="cellIs" priority="109" dxfId="366" operator="lessThan" stopIfTrue="1">
      <formula>N10+N22+N23+N24-N25-(0.01*(N10+N22+N23+N24-N25))</formula>
    </cfRule>
  </conditionalFormatting>
  <conditionalFormatting sqref="AV28">
    <cfRule type="cellIs" priority="64" dxfId="366" operator="lessThan" stopIfTrue="1">
      <formula>0.99*(AV26-AV27)</formula>
    </cfRule>
  </conditionalFormatting>
  <conditionalFormatting sqref="AV10">
    <cfRule type="cellIs" priority="65" dxfId="366" operator="lessThan" stopIfTrue="1">
      <formula>AV8+AV9-(0.01*(AV8+AV9))</formula>
    </cfRule>
  </conditionalFormatting>
  <conditionalFormatting sqref="AV26">
    <cfRule type="cellIs" priority="66" dxfId="366" operator="lessThan" stopIfTrue="1">
      <formula>AV10+AV22+AV23+AV24-AV25-(0.01*(AV10+AV22+AV23+AV24-AV25))</formula>
    </cfRule>
  </conditionalFormatting>
  <conditionalFormatting sqref="AX28">
    <cfRule type="cellIs" priority="61" dxfId="366" operator="lessThan" stopIfTrue="1">
      <formula>0.99*(AX26-AX27)</formula>
    </cfRule>
  </conditionalFormatting>
  <conditionalFormatting sqref="AX10">
    <cfRule type="cellIs" priority="62" dxfId="366" operator="lessThan" stopIfTrue="1">
      <formula>AX8+AX9-(0.01*(AX8+AX9))</formula>
    </cfRule>
  </conditionalFormatting>
  <conditionalFormatting sqref="AX26">
    <cfRule type="cellIs" priority="63" dxfId="366" operator="lessThan" stopIfTrue="1">
      <formula>AX10+AX22+AX23+AX24-AX25-(0.01*(AX10+AX22+AX23+AX24-AX25))</formula>
    </cfRule>
  </conditionalFormatting>
  <conditionalFormatting sqref="BG27">
    <cfRule type="cellIs" priority="2" dxfId="366" operator="lessThan" stopIfTrue="1">
      <formula>#REF!+#REF!</formula>
    </cfRule>
    <cfRule type="cellIs" priority="3" dxfId="366" operator="lessThan" stopIfTrue="1">
      <formula>#REF!+BG30+BG31+BG32+BG34+#REF!</formula>
    </cfRule>
  </conditionalFormatting>
  <conditionalFormatting sqref="BG21">
    <cfRule type="cellIs" priority="4" dxfId="366" operator="lessThan" stopIfTrue="1">
      <formula>#REF!+#REF!</formula>
    </cfRule>
    <cfRule type="cellIs" priority="5" dxfId="366" operator="lessThan" stopIfTrue="1">
      <formula>BG23+BG24+BG25+BG26+#REF!+#REF!</formula>
    </cfRule>
  </conditionalFormatting>
  <conditionalFormatting sqref="BG22">
    <cfRule type="cellIs" priority="6" dxfId="366" operator="lessThan" stopIfTrue="1">
      <formula>#REF!+#REF!</formula>
    </cfRule>
    <cfRule type="cellIs" priority="7" dxfId="366" operator="lessThan" stopIfTrue="1">
      <formula>BG24+BG25+BG26+#REF!+#REF!+#REF!</formula>
    </cfRule>
  </conditionalFormatting>
  <conditionalFormatting sqref="BG8">
    <cfRule type="cellIs" priority="8" dxfId="366" operator="lessThan" stopIfTrue="1">
      <formula>#REF!+#REF!</formula>
    </cfRule>
    <cfRule type="cellIs" priority="9" dxfId="366" operator="lessThan" stopIfTrue="1">
      <formula>BG10+BG11+BG12+BG13+BG14+BG17</formula>
    </cfRule>
  </conditionalFormatting>
  <conditionalFormatting sqref="BG13">
    <cfRule type="cellIs" priority="10" dxfId="366" operator="lessThan" stopIfTrue="1">
      <formula>BG34+#REF!</formula>
    </cfRule>
    <cfRule type="cellIs" priority="11" dxfId="366" operator="lessThan" stopIfTrue="1">
      <formula>BG17+#REF!+#REF!+#REF!+#REF!+#REF!</formula>
    </cfRule>
  </conditionalFormatting>
  <conditionalFormatting sqref="BG12">
    <cfRule type="cellIs" priority="12" dxfId="366" operator="lessThan" stopIfTrue="1">
      <formula>BG31+#REF!</formula>
    </cfRule>
    <cfRule type="cellIs" priority="13" dxfId="366" operator="lessThan" stopIfTrue="1">
      <formula>BG14+BG17+#REF!+#REF!+#REF!+#REF!</formula>
    </cfRule>
  </conditionalFormatting>
  <conditionalFormatting sqref="BG36:BG37">
    <cfRule type="cellIs" priority="14" dxfId="366" operator="lessThan" stopIfTrue="1">
      <formula>#REF!+BG45</formula>
    </cfRule>
    <cfRule type="cellIs" priority="15" dxfId="366" operator="lessThan" stopIfTrue="1">
      <formula>#REF!+#REF!+#REF!+#REF!+#REF!+#REF!</formula>
    </cfRule>
  </conditionalFormatting>
  <conditionalFormatting sqref="BG38">
    <cfRule type="cellIs" priority="16" dxfId="366" operator="lessThan" stopIfTrue="1">
      <formula>#REF!+BG47</formula>
    </cfRule>
    <cfRule type="cellIs" priority="17" dxfId="366" operator="lessThan" stopIfTrue="1">
      <formula>#REF!+#REF!+#REF!+#REF!+#REF!+#REF!</formula>
    </cfRule>
  </conditionalFormatting>
  <conditionalFormatting sqref="BG53:DA53 BG50:DA50 BG44:DA44 BG47:DA47">
    <cfRule type="cellIs" priority="18" dxfId="366"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366" operator="equal" stopIfTrue="1">
      <formula>"&gt; 25%"</formula>
    </cfRule>
  </conditionalFormatting>
  <conditionalFormatting sqref="BI8:BI38">
    <cfRule type="cellIs" priority="20" dxfId="366" operator="equal" stopIfTrue="1">
      <formula>"&gt; 100%"</formula>
    </cfRule>
  </conditionalFormatting>
  <conditionalFormatting sqref="BG31">
    <cfRule type="cellIs" priority="21" dxfId="366" operator="lessThan" stopIfTrue="1">
      <formula>#REF!+#REF!</formula>
    </cfRule>
    <cfRule type="cellIs" priority="22" dxfId="366" operator="lessThan" stopIfTrue="1">
      <formula>BG34+#REF!+#REF!+#REF!+#REF!+#REF!</formula>
    </cfRule>
  </conditionalFormatting>
  <conditionalFormatting sqref="BG30">
    <cfRule type="cellIs" priority="23" dxfId="366" operator="lessThan" stopIfTrue="1">
      <formula>#REF!+#REF!</formula>
    </cfRule>
    <cfRule type="cellIs" priority="24" dxfId="366" operator="lessThan" stopIfTrue="1">
      <formula>BG32+BG34+#REF!+#REF!+#REF!+#REF!</formula>
    </cfRule>
  </conditionalFormatting>
  <conditionalFormatting sqref="BG32:BG33">
    <cfRule type="cellIs" priority="25" dxfId="366" operator="lessThan" stopIfTrue="1">
      <formula>#REF!+#REF!</formula>
    </cfRule>
    <cfRule type="cellIs" priority="26" dxfId="366" operator="lessThan" stopIfTrue="1">
      <formula>#REF!+#REF!+#REF!+#REF!+#REF!+#REF!</formula>
    </cfRule>
  </conditionalFormatting>
  <conditionalFormatting sqref="BG34:BG35">
    <cfRule type="cellIs" priority="27" dxfId="366" operator="lessThan" stopIfTrue="1">
      <formula>#REF!+BG44</formula>
    </cfRule>
    <cfRule type="cellIs" priority="28" dxfId="366" operator="lessThan" stopIfTrue="1">
      <formula>BG38+#REF!+#REF!+#REF!+#REF!+#REF!</formula>
    </cfRule>
  </conditionalFormatting>
  <conditionalFormatting sqref="BG25">
    <cfRule type="cellIs" priority="29" dxfId="366" operator="lessThan" stopIfTrue="1">
      <formula>BG43+#REF!</formula>
    </cfRule>
    <cfRule type="cellIs" priority="30" dxfId="366" operator="lessThan" stopIfTrue="1">
      <formula>#REF!+#REF!+#REF!+#REF!+#REF!+BG40</formula>
    </cfRule>
  </conditionalFormatting>
  <conditionalFormatting sqref="BG26">
    <cfRule type="cellIs" priority="31" dxfId="366" operator="lessThan" stopIfTrue="1">
      <formula>BG44+#REF!</formula>
    </cfRule>
    <cfRule type="cellIs" priority="32" dxfId="366" operator="lessThan" stopIfTrue="1">
      <formula>#REF!+#REF!+#REF!+#REF!+BG40+BG42</formula>
    </cfRule>
  </conditionalFormatting>
  <conditionalFormatting sqref="BG24">
    <cfRule type="cellIs" priority="33" dxfId="366" operator="lessThan" stopIfTrue="1">
      <formula>BG42+#REF!</formula>
    </cfRule>
    <cfRule type="cellIs" priority="34" dxfId="366" operator="lessThan" stopIfTrue="1">
      <formula>BG26+#REF!+#REF!+#REF!+#REF!+#REF!</formula>
    </cfRule>
  </conditionalFormatting>
  <conditionalFormatting sqref="BG23">
    <cfRule type="cellIs" priority="35" dxfId="366" operator="lessThan" stopIfTrue="1">
      <formula>BG40+#REF!</formula>
    </cfRule>
    <cfRule type="cellIs" priority="36" dxfId="366" operator="lessThan" stopIfTrue="1">
      <formula>BG25+BG26+#REF!+#REF!+#REF!+#REF!</formula>
    </cfRule>
  </conditionalFormatting>
  <conditionalFormatting sqref="CW8:CW38 CY8:CY38">
    <cfRule type="cellIs" priority="1" dxfId="366" operator="equal" stopIfTrue="1">
      <formula>"&gt; 25%"</formula>
    </cfRule>
  </conditionalFormatting>
  <conditionalFormatting sqref="BG9">
    <cfRule type="cellIs" priority="37" dxfId="366" operator="lessThan" stopIfTrue="1">
      <formula>#REF!+#REF!</formula>
    </cfRule>
    <cfRule type="cellIs" priority="38" dxfId="366" operator="lessThan" stopIfTrue="1">
      <formula>#REF!+BG12+BG13+BG14+BG17+#REF!</formula>
    </cfRule>
  </conditionalFormatting>
  <conditionalFormatting sqref="BG10">
    <cfRule type="cellIs" priority="39" dxfId="366" operator="lessThan" stopIfTrue="1">
      <formula>#REF!+#REF!</formula>
    </cfRule>
    <cfRule type="cellIs" priority="40" dxfId="366" operator="lessThan" stopIfTrue="1">
      <formula>BG12+BG13+BG14+BG17+#REF!+#REF!</formula>
    </cfRule>
  </conditionalFormatting>
  <conditionalFormatting sqref="BG11">
    <cfRule type="cellIs" priority="41" dxfId="366" operator="lessThan" stopIfTrue="1">
      <formula>#REF!+#REF!</formula>
    </cfRule>
    <cfRule type="cellIs" priority="42" dxfId="366" operator="lessThan" stopIfTrue="1">
      <formula>BG13+BG14+BG17+#REF!+#REF!+#REF!</formula>
    </cfRule>
  </conditionalFormatting>
  <conditionalFormatting sqref="BG19:BG20">
    <cfRule type="cellIs" priority="43" dxfId="366" operator="lessThan" stopIfTrue="1">
      <formula>#REF!+#REF!</formula>
    </cfRule>
    <cfRule type="cellIs" priority="44" dxfId="366" operator="lessThan" stopIfTrue="1">
      <formula>#REF!+BG23+BG24+BG25+BG26+#REF!</formula>
    </cfRule>
  </conditionalFormatting>
  <conditionalFormatting sqref="BG28">
    <cfRule type="cellIs" priority="45" dxfId="366" operator="lessThan" stopIfTrue="1">
      <formula>#REF!+#REF!</formula>
    </cfRule>
    <cfRule type="cellIs" priority="46" dxfId="366" operator="lessThan" stopIfTrue="1">
      <formula>BG30+BG31+BG32+BG34+#REF!+#REF!</formula>
    </cfRule>
  </conditionalFormatting>
  <conditionalFormatting sqref="BG29">
    <cfRule type="cellIs" priority="47" dxfId="366" operator="lessThan" stopIfTrue="1">
      <formula>#REF!+#REF!</formula>
    </cfRule>
    <cfRule type="cellIs" priority="48" dxfId="366" operator="lessThan" stopIfTrue="1">
      <formula>BG31+BG32+BG34+#REF!+#REF!+#REF!</formula>
    </cfRule>
  </conditionalFormatting>
  <conditionalFormatting sqref="BG16">
    <cfRule type="cellIs" priority="49" dxfId="366" operator="lessThan" stopIfTrue="1">
      <formula>BG39+#REF!</formula>
    </cfRule>
    <cfRule type="cellIs" priority="50" dxfId="366" operator="lessThan" stopIfTrue="1">
      <formula>#REF!+#REF!+#REF!+#REF!+#REF!+BG34</formula>
    </cfRule>
  </conditionalFormatting>
  <conditionalFormatting sqref="BG14">
    <cfRule type="cellIs" priority="51" dxfId="366" operator="lessThan" stopIfTrue="1">
      <formula>BG36+#REF!</formula>
    </cfRule>
    <cfRule type="cellIs" priority="52" dxfId="366" operator="lessThan" stopIfTrue="1">
      <formula>#REF!+#REF!+#REF!+#REF!+#REF!+BG31</formula>
    </cfRule>
  </conditionalFormatting>
  <conditionalFormatting sqref="BG17">
    <cfRule type="cellIs" priority="53" dxfId="366" operator="lessThan" stopIfTrue="1">
      <formula>BG38+#REF!</formula>
    </cfRule>
    <cfRule type="cellIs" priority="54" dxfId="366" operator="lessThan" stopIfTrue="1">
      <formula>#REF!+#REF!+#REF!+#REF!+BG31+BG34</formula>
    </cfRule>
  </conditionalFormatting>
  <conditionalFormatting sqref="BG18">
    <cfRule type="cellIs" priority="55" dxfId="366" operator="lessThan" stopIfTrue="1">
      <formula>BG39+#REF!</formula>
    </cfRule>
    <cfRule type="cellIs" priority="56" dxfId="366" operator="lessThan" stopIfTrue="1">
      <formula>#REF!+#REF!+#REF!+#REF!+BG32+BG36</formula>
    </cfRule>
  </conditionalFormatting>
  <conditionalFormatting sqref="BG15">
    <cfRule type="cellIs" priority="57" dxfId="366" operator="lessThan" stopIfTrue="1">
      <formula>BG38+#REF!</formula>
    </cfRule>
    <cfRule type="cellIs" priority="58" dxfId="366" operator="lessThan" stopIfTrue="1">
      <formula>#REF!+#REF!+#REF!+#REF!+#REF!+BG32</formula>
    </cfRule>
  </conditionalFormatting>
  <printOptions horizontalCentered="1"/>
  <pageMargins left="0.56" right="0.4" top="0.18" bottom="0.51" header="0.18" footer="0.25"/>
  <pageSetup fitToHeight="0" fitToWidth="1" horizontalDpi="600" verticalDpi="600" orientation="landscape" paperSize="9" scale="60" r:id="rId4"/>
  <headerFooter alignWithMargins="0">
    <oddFooter>&amp;C&amp;"Arial,Regular"&amp;8Questionnaire UNSD/Programme des Nations Unies pour l'environnement 2018 sur les Statistiques de l'environnement - Section de l'eau- p.&amp;P</oddFooter>
  </headerFooter>
  <rowBreaks count="1" manualBreakCount="1">
    <brk id="43" min="2" max="53"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Q74"/>
  <sheetViews>
    <sheetView showGridLines="0" zoomScale="85" zoomScaleNormal="85" zoomScaleSheetLayoutView="40" workbookViewId="0" topLeftCell="C1">
      <selection activeCell="F8" sqref="F8"/>
    </sheetView>
  </sheetViews>
  <sheetFormatPr defaultColWidth="12" defaultRowHeight="12.75"/>
  <cols>
    <col min="1" max="1" width="3.33203125" style="179" hidden="1" customWidth="1"/>
    <col min="2" max="2" width="5.33203125" style="180" hidden="1" customWidth="1"/>
    <col min="3" max="3" width="8.33203125" style="193" customWidth="1"/>
    <col min="4" max="4" width="40" style="193" customWidth="1"/>
    <col min="5" max="5" width="10.16015625" style="193" customWidth="1"/>
    <col min="6" max="6" width="6.66015625" style="193" customWidth="1"/>
    <col min="7" max="7" width="1.83203125" style="193" customWidth="1"/>
    <col min="8" max="8" width="6.66015625" style="279" customWidth="1"/>
    <col min="9" max="9" width="1.83203125" style="280" customWidth="1"/>
    <col min="10" max="10" width="6.66015625" style="280" customWidth="1"/>
    <col min="11" max="11" width="1.83203125" style="280" customWidth="1"/>
    <col min="12" max="12" width="6.66015625" style="280" customWidth="1"/>
    <col min="13" max="13" width="1.83203125" style="280" customWidth="1"/>
    <col min="14" max="14" width="6.66015625" style="280" customWidth="1"/>
    <col min="15" max="15" width="1.83203125" style="280" customWidth="1"/>
    <col min="16" max="16" width="6.66015625" style="281" customWidth="1"/>
    <col min="17" max="17" width="1.83203125" style="280" customWidth="1"/>
    <col min="18" max="18" width="6.66015625" style="281" customWidth="1"/>
    <col min="19" max="19" width="1.83203125" style="280" customWidth="1"/>
    <col min="20" max="20" width="6.66015625" style="281" customWidth="1"/>
    <col min="21" max="21" width="1.83203125" style="280" customWidth="1"/>
    <col min="22" max="22" width="6.66015625" style="281" customWidth="1"/>
    <col min="23" max="23" width="1.83203125" style="280" customWidth="1"/>
    <col min="24" max="24" width="6.66015625" style="279" customWidth="1"/>
    <col min="25" max="25" width="1.83203125" style="280" customWidth="1"/>
    <col min="26" max="26" width="6.66015625" style="279" customWidth="1"/>
    <col min="27" max="27" width="1.83203125" style="280" customWidth="1"/>
    <col min="28" max="28" width="6.66015625" style="279" customWidth="1"/>
    <col min="29" max="29" width="1.83203125" style="280" customWidth="1"/>
    <col min="30" max="30" width="6.66015625" style="279" customWidth="1"/>
    <col min="31" max="31" width="1.83203125" style="280" customWidth="1"/>
    <col min="32" max="32" width="6.66015625" style="279" customWidth="1"/>
    <col min="33" max="33" width="1.3359375" style="280" customWidth="1"/>
    <col min="34" max="34" width="6.66015625" style="279" customWidth="1"/>
    <col min="35" max="35" width="1.83203125" style="280" customWidth="1"/>
    <col min="36" max="36" width="6.66015625" style="281" customWidth="1"/>
    <col min="37" max="37" width="1.83203125" style="280" customWidth="1"/>
    <col min="38" max="38" width="6.66015625" style="279" customWidth="1"/>
    <col min="39" max="39" width="1.83203125" style="280" customWidth="1"/>
    <col min="40" max="40" width="6.66015625" style="279" customWidth="1"/>
    <col min="41" max="41" width="1.83203125" style="280" customWidth="1"/>
    <col min="42" max="42" width="6.66015625" style="280" customWidth="1"/>
    <col min="43" max="43" width="1.83203125" style="280" customWidth="1"/>
    <col min="44" max="44" width="6.66015625" style="280" customWidth="1"/>
    <col min="45" max="45" width="1.83203125" style="280" customWidth="1"/>
    <col min="46" max="46" width="6.66015625" style="279" customWidth="1"/>
    <col min="47" max="47" width="1.83203125" style="280" customWidth="1"/>
    <col min="48" max="48" width="6.66015625" style="280" customWidth="1"/>
    <col min="49" max="49" width="1.83203125" style="280" customWidth="1"/>
    <col min="50" max="50" width="6.66015625" style="279" customWidth="1"/>
    <col min="51" max="51" width="1.83203125" style="280" customWidth="1"/>
    <col min="52" max="52" width="6.66015625" style="279" customWidth="1"/>
    <col min="53" max="53" width="1.83203125" style="280" customWidth="1"/>
    <col min="54" max="54" width="1.83203125" style="193" customWidth="1"/>
    <col min="55" max="55" width="4.83203125" style="191" customWidth="1"/>
    <col min="56" max="56" width="7.16015625" style="191" customWidth="1"/>
    <col min="57" max="57" width="36.16015625" style="191" customWidth="1"/>
    <col min="58" max="58" width="10.66015625" style="191" customWidth="1"/>
    <col min="59" max="59" width="5.16015625" style="191" customWidth="1"/>
    <col min="60" max="60" width="2.16015625" style="191" customWidth="1"/>
    <col min="61" max="61" width="5.16015625" style="191" customWidth="1"/>
    <col min="62" max="62" width="1.5" style="191" customWidth="1"/>
    <col min="63" max="63" width="5.16015625" style="191" customWidth="1"/>
    <col min="64" max="64" width="1.5" style="191" customWidth="1"/>
    <col min="65" max="65" width="5.16015625" style="191" customWidth="1"/>
    <col min="66" max="66" width="1.5" style="191" customWidth="1"/>
    <col min="67" max="67" width="5.16015625" style="191" customWidth="1"/>
    <col min="68" max="68" width="1.5" style="191" customWidth="1"/>
    <col min="69" max="69" width="5.16015625" style="191" customWidth="1"/>
    <col min="70" max="70" width="1.5" style="191" customWidth="1"/>
    <col min="71" max="71" width="5.16015625" style="191" customWidth="1"/>
    <col min="72" max="72" width="1.5" style="191" customWidth="1"/>
    <col min="73" max="73" width="5.16015625" style="191" customWidth="1"/>
    <col min="74" max="74" width="1.5" style="191" customWidth="1"/>
    <col min="75" max="75" width="5.16015625" style="191" customWidth="1"/>
    <col min="76" max="76" width="1.5" style="191" customWidth="1"/>
    <col min="77" max="77" width="5.16015625" style="191" customWidth="1"/>
    <col min="78" max="78" width="1.5" style="191" customWidth="1"/>
    <col min="79" max="79" width="5.16015625" style="191" customWidth="1"/>
    <col min="80" max="80" width="1.5" style="191" customWidth="1"/>
    <col min="81" max="81" width="5.16015625" style="191" customWidth="1"/>
    <col min="82" max="82" width="1.5" style="191" customWidth="1"/>
    <col min="83" max="83" width="5.16015625" style="191" customWidth="1"/>
    <col min="84" max="84" width="1.5" style="191" customWidth="1"/>
    <col min="85" max="85" width="5.16015625" style="191" customWidth="1"/>
    <col min="86" max="86" width="1.5" style="191" customWidth="1"/>
    <col min="87" max="87" width="5.16015625" style="191" customWidth="1"/>
    <col min="88" max="88" width="1.5" style="191" customWidth="1"/>
    <col min="89" max="89" width="5.16015625" style="191" customWidth="1"/>
    <col min="90" max="90" width="1.5" style="191" customWidth="1"/>
    <col min="91" max="91" width="5.16015625" style="191" customWidth="1"/>
    <col min="92" max="92" width="1.5" style="191" customWidth="1"/>
    <col min="93" max="93" width="5.16015625" style="191" customWidth="1"/>
    <col min="94" max="94" width="1.5" style="191" customWidth="1"/>
    <col min="95" max="95" width="5.16015625" style="191" customWidth="1"/>
    <col min="96" max="96" width="1.5" style="191" customWidth="1"/>
    <col min="97" max="97" width="5.16015625" style="191" customWidth="1"/>
    <col min="98" max="98" width="1.5" style="191" customWidth="1"/>
    <col min="99" max="99" width="5.16015625" style="191" customWidth="1"/>
    <col min="100" max="100" width="1.5" style="191" customWidth="1"/>
    <col min="101" max="101" width="5.16015625" style="191" customWidth="1"/>
    <col min="102" max="102" width="1.5" style="191" customWidth="1"/>
    <col min="103" max="103" width="5.16015625" style="191" customWidth="1"/>
    <col min="104" max="104" width="1.5" style="191" customWidth="1"/>
    <col min="105" max="105" width="5.16015625" style="191" customWidth="1"/>
    <col min="106" max="106" width="0.1640625" style="191" customWidth="1"/>
    <col min="107" max="16384" width="12" style="193" customWidth="1"/>
  </cols>
  <sheetData>
    <row r="1" spans="1:106" s="447" customFormat="1" ht="16.5" customHeight="1">
      <c r="A1" s="446"/>
      <c r="B1" s="180">
        <v>0</v>
      </c>
      <c r="C1" s="181" t="s">
        <v>165</v>
      </c>
      <c r="D1" s="181"/>
      <c r="E1" s="338"/>
      <c r="F1" s="338"/>
      <c r="G1" s="338"/>
      <c r="H1" s="339"/>
      <c r="I1" s="340"/>
      <c r="J1" s="340"/>
      <c r="K1" s="340"/>
      <c r="L1" s="340"/>
      <c r="M1" s="340"/>
      <c r="N1" s="340"/>
      <c r="O1" s="340"/>
      <c r="P1" s="341"/>
      <c r="Q1" s="340"/>
      <c r="R1" s="341"/>
      <c r="S1" s="340"/>
      <c r="T1" s="341"/>
      <c r="U1" s="340"/>
      <c r="V1" s="341"/>
      <c r="W1" s="340"/>
      <c r="X1" s="339"/>
      <c r="Y1" s="340"/>
      <c r="Z1" s="339"/>
      <c r="AA1" s="340"/>
      <c r="AB1" s="339"/>
      <c r="AC1" s="340"/>
      <c r="AD1" s="339"/>
      <c r="AE1" s="340"/>
      <c r="AF1" s="339"/>
      <c r="AG1" s="340"/>
      <c r="AH1" s="339"/>
      <c r="AI1" s="340"/>
      <c r="AJ1" s="341"/>
      <c r="AK1" s="340"/>
      <c r="AL1" s="339"/>
      <c r="AM1" s="340"/>
      <c r="AN1" s="339"/>
      <c r="AO1" s="340"/>
      <c r="AP1" s="340"/>
      <c r="AQ1" s="340"/>
      <c r="AR1" s="340"/>
      <c r="AS1" s="340"/>
      <c r="AT1" s="339"/>
      <c r="AU1" s="340"/>
      <c r="AV1" s="340"/>
      <c r="AW1" s="340"/>
      <c r="AX1" s="339"/>
      <c r="AY1" s="340"/>
      <c r="AZ1" s="339"/>
      <c r="BA1" s="340"/>
      <c r="BB1" s="577"/>
      <c r="BC1" s="213"/>
      <c r="BD1" s="192" t="s">
        <v>447</v>
      </c>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213"/>
    </row>
    <row r="2" spans="5:24" ht="6" customHeight="1">
      <c r="E2" s="343"/>
      <c r="F2" s="343"/>
      <c r="G2" s="343"/>
      <c r="H2" s="344"/>
      <c r="I2" s="345"/>
      <c r="J2" s="345"/>
      <c r="K2" s="345"/>
      <c r="L2" s="345"/>
      <c r="M2" s="345"/>
      <c r="N2" s="345"/>
      <c r="O2" s="345"/>
      <c r="P2" s="346"/>
      <c r="Q2" s="345"/>
      <c r="R2" s="346"/>
      <c r="S2" s="345"/>
      <c r="T2" s="346"/>
      <c r="U2" s="345"/>
      <c r="V2" s="346"/>
      <c r="W2" s="345"/>
      <c r="X2" s="347"/>
    </row>
    <row r="3" spans="1:109" s="364" customFormat="1" ht="17.25" customHeight="1">
      <c r="A3" s="291"/>
      <c r="B3" s="291">
        <v>180</v>
      </c>
      <c r="C3" s="348" t="s">
        <v>324</v>
      </c>
      <c r="D3" s="703" t="s">
        <v>144</v>
      </c>
      <c r="E3" s="433"/>
      <c r="F3" s="434"/>
      <c r="G3" s="435"/>
      <c r="H3" s="436"/>
      <c r="I3" s="437"/>
      <c r="J3" s="437"/>
      <c r="K3" s="437"/>
      <c r="L3" s="437"/>
      <c r="M3" s="437"/>
      <c r="N3" s="437"/>
      <c r="O3" s="437"/>
      <c r="P3" s="436"/>
      <c r="Q3" s="437"/>
      <c r="R3" s="436"/>
      <c r="S3" s="437"/>
      <c r="T3" s="436"/>
      <c r="U3" s="437"/>
      <c r="V3" s="436"/>
      <c r="W3" s="435"/>
      <c r="X3" s="436"/>
      <c r="Y3" s="438"/>
      <c r="Z3" s="111"/>
      <c r="AA3" s="438"/>
      <c r="AB3" s="57"/>
      <c r="AC3" s="348" t="s">
        <v>300</v>
      </c>
      <c r="AD3" s="350"/>
      <c r="AE3" s="349"/>
      <c r="AF3" s="350"/>
      <c r="AG3" s="351"/>
      <c r="AH3" s="350"/>
      <c r="AI3" s="349"/>
      <c r="AJ3" s="436"/>
      <c r="AK3" s="435"/>
      <c r="AL3" s="436"/>
      <c r="AM3" s="435"/>
      <c r="AN3" s="436"/>
      <c r="AO3" s="439"/>
      <c r="AP3" s="439"/>
      <c r="AQ3" s="439"/>
      <c r="AR3" s="439"/>
      <c r="AS3" s="439"/>
      <c r="AT3" s="440"/>
      <c r="AU3" s="440"/>
      <c r="AV3" s="439"/>
      <c r="AW3" s="439"/>
      <c r="AX3" s="440"/>
      <c r="AY3" s="440"/>
      <c r="AZ3" s="440"/>
      <c r="BA3" s="440"/>
      <c r="BB3" s="440"/>
      <c r="BC3" s="448"/>
      <c r="BD3" s="355" t="s">
        <v>423</v>
      </c>
      <c r="BE3" s="449"/>
      <c r="BF3" s="449"/>
      <c r="BG3" s="362"/>
      <c r="BH3" s="362"/>
      <c r="BI3" s="362"/>
      <c r="BJ3" s="362"/>
      <c r="BK3" s="862"/>
      <c r="BL3" s="862"/>
      <c r="BM3" s="862"/>
      <c r="BN3" s="451"/>
      <c r="BO3" s="451"/>
      <c r="BP3" s="451"/>
      <c r="BQ3" s="862"/>
      <c r="BR3" s="862"/>
      <c r="BS3" s="862"/>
      <c r="BT3" s="451"/>
      <c r="BU3" s="451"/>
      <c r="BV3" s="451"/>
      <c r="BW3" s="451"/>
      <c r="BX3" s="451"/>
      <c r="BY3" s="451"/>
      <c r="BZ3" s="451"/>
      <c r="CA3" s="362"/>
      <c r="CB3" s="362"/>
      <c r="CC3" s="362"/>
      <c r="CD3" s="362"/>
      <c r="CE3" s="362"/>
      <c r="CF3" s="362"/>
      <c r="CG3" s="452"/>
      <c r="CH3" s="452"/>
      <c r="CI3" s="452"/>
      <c r="CJ3" s="452"/>
      <c r="CK3" s="362"/>
      <c r="CL3" s="362"/>
      <c r="CM3" s="362"/>
      <c r="CN3" s="362"/>
      <c r="CO3" s="362"/>
      <c r="CP3" s="362"/>
      <c r="CQ3" s="362"/>
      <c r="CR3" s="362"/>
      <c r="CS3" s="362"/>
      <c r="CT3" s="362"/>
      <c r="CU3" s="362"/>
      <c r="CV3" s="362"/>
      <c r="CW3" s="362"/>
      <c r="CX3" s="362"/>
      <c r="CY3" s="362"/>
      <c r="CZ3" s="362"/>
      <c r="DA3" s="362"/>
      <c r="DB3" s="362"/>
      <c r="DC3" s="363"/>
      <c r="DD3" s="363"/>
      <c r="DE3" s="363"/>
    </row>
    <row r="4" spans="5:56" ht="5.25" customHeight="1">
      <c r="E4" s="365"/>
      <c r="F4" s="365"/>
      <c r="G4" s="365"/>
      <c r="Y4" s="352"/>
      <c r="Z4" s="347"/>
      <c r="AL4" s="344"/>
      <c r="AM4" s="345"/>
      <c r="BD4" s="330"/>
    </row>
    <row r="5" spans="1:106" s="447" customFormat="1" ht="17.25" customHeight="1">
      <c r="A5" s="446"/>
      <c r="B5" s="180">
        <v>17</v>
      </c>
      <c r="C5" s="830" t="s">
        <v>502</v>
      </c>
      <c r="D5" s="830"/>
      <c r="E5" s="863"/>
      <c r="F5" s="863"/>
      <c r="G5" s="863"/>
      <c r="H5" s="863"/>
      <c r="I5" s="832"/>
      <c r="J5" s="832"/>
      <c r="K5" s="832"/>
      <c r="L5" s="832"/>
      <c r="M5" s="832"/>
      <c r="N5" s="832"/>
      <c r="O5" s="832"/>
      <c r="P5" s="832"/>
      <c r="Q5" s="832"/>
      <c r="R5" s="832"/>
      <c r="S5" s="832"/>
      <c r="T5" s="832"/>
      <c r="U5" s="832"/>
      <c r="V5" s="832"/>
      <c r="W5" s="832"/>
      <c r="X5" s="863"/>
      <c r="Y5" s="832"/>
      <c r="Z5" s="863"/>
      <c r="AA5" s="832"/>
      <c r="AB5" s="863"/>
      <c r="AC5" s="832"/>
      <c r="AD5" s="863"/>
      <c r="AE5" s="832"/>
      <c r="AF5" s="863"/>
      <c r="AG5" s="832"/>
      <c r="AH5" s="863"/>
      <c r="AI5" s="832"/>
      <c r="AJ5" s="832"/>
      <c r="AK5" s="832"/>
      <c r="AL5" s="863"/>
      <c r="AM5" s="832"/>
      <c r="AN5" s="863"/>
      <c r="AO5" s="366"/>
      <c r="AP5" s="366"/>
      <c r="AQ5" s="366"/>
      <c r="AR5" s="366"/>
      <c r="AS5" s="366"/>
      <c r="AT5" s="367"/>
      <c r="AU5" s="366"/>
      <c r="AV5" s="366"/>
      <c r="AW5" s="366"/>
      <c r="AX5" s="367"/>
      <c r="AY5" s="366"/>
      <c r="AZ5" s="367"/>
      <c r="BA5" s="366"/>
      <c r="BB5" s="453"/>
      <c r="BC5" s="213"/>
      <c r="BD5" s="369" t="s">
        <v>424</v>
      </c>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612"/>
      <c r="CY5" s="612"/>
      <c r="CZ5" s="612"/>
      <c r="DA5" s="612"/>
      <c r="DB5" s="213"/>
    </row>
    <row r="6" spans="1:106" s="455" customFormat="1" ht="14.25" customHeight="1">
      <c r="A6" s="454"/>
      <c r="B6" s="180"/>
      <c r="C6" s="670"/>
      <c r="D6" s="671"/>
      <c r="E6" s="671"/>
      <c r="F6" s="677" t="s">
        <v>488</v>
      </c>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864"/>
      <c r="AH6" s="865"/>
      <c r="AI6" s="865"/>
      <c r="AJ6" s="865"/>
      <c r="AK6" s="865"/>
      <c r="AL6" s="865"/>
      <c r="AM6" s="865"/>
      <c r="AN6" s="865"/>
      <c r="AO6" s="865"/>
      <c r="AP6" s="865"/>
      <c r="AQ6" s="865"/>
      <c r="AR6" s="865"/>
      <c r="AS6" s="865"/>
      <c r="AT6" s="865"/>
      <c r="AU6" s="865"/>
      <c r="AV6" s="865"/>
      <c r="AW6" s="865"/>
      <c r="AX6" s="865"/>
      <c r="AY6" s="865"/>
      <c r="AZ6" s="865"/>
      <c r="BA6" s="375"/>
      <c r="BB6" s="218"/>
      <c r="BC6" s="217"/>
      <c r="BD6" s="376" t="s">
        <v>664</v>
      </c>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612"/>
      <c r="CY6" s="612"/>
      <c r="CZ6" s="612"/>
      <c r="DA6" s="612"/>
      <c r="DB6" s="213"/>
    </row>
    <row r="7" spans="1:106" s="233" customFormat="1" ht="21.75" customHeight="1">
      <c r="A7" s="223"/>
      <c r="B7" s="224">
        <v>2</v>
      </c>
      <c r="C7" s="226" t="s">
        <v>301</v>
      </c>
      <c r="D7" s="226" t="s">
        <v>302</v>
      </c>
      <c r="E7" s="226" t="s">
        <v>303</v>
      </c>
      <c r="F7" s="225">
        <v>1990</v>
      </c>
      <c r="G7" s="225"/>
      <c r="H7" s="225">
        <v>1995</v>
      </c>
      <c r="I7" s="225"/>
      <c r="J7" s="225">
        <v>1996</v>
      </c>
      <c r="K7" s="225"/>
      <c r="L7" s="225">
        <v>1997</v>
      </c>
      <c r="M7" s="225"/>
      <c r="N7" s="225">
        <v>1998</v>
      </c>
      <c r="O7" s="225"/>
      <c r="P7" s="225">
        <v>1999</v>
      </c>
      <c r="Q7" s="225"/>
      <c r="R7" s="225">
        <v>2000</v>
      </c>
      <c r="S7" s="225"/>
      <c r="T7" s="225">
        <v>2001</v>
      </c>
      <c r="U7" s="225"/>
      <c r="V7" s="225">
        <v>2002</v>
      </c>
      <c r="W7" s="225"/>
      <c r="X7" s="225">
        <v>2003</v>
      </c>
      <c r="Y7" s="225"/>
      <c r="Z7" s="225">
        <v>2004</v>
      </c>
      <c r="AA7" s="225"/>
      <c r="AB7" s="225">
        <v>2005</v>
      </c>
      <c r="AC7" s="225"/>
      <c r="AD7" s="225">
        <v>2006</v>
      </c>
      <c r="AE7" s="225"/>
      <c r="AF7" s="225">
        <v>2007</v>
      </c>
      <c r="AG7" s="225"/>
      <c r="AH7" s="225">
        <v>2008</v>
      </c>
      <c r="AI7" s="225"/>
      <c r="AJ7" s="225">
        <v>2009</v>
      </c>
      <c r="AK7" s="225"/>
      <c r="AL7" s="225">
        <v>2010</v>
      </c>
      <c r="AM7" s="225"/>
      <c r="AN7" s="225">
        <v>2011</v>
      </c>
      <c r="AO7" s="225"/>
      <c r="AP7" s="225">
        <v>2012</v>
      </c>
      <c r="AQ7" s="225"/>
      <c r="AR7" s="225">
        <v>2013</v>
      </c>
      <c r="AS7" s="225"/>
      <c r="AT7" s="225">
        <v>2014</v>
      </c>
      <c r="AU7" s="225"/>
      <c r="AV7" s="225">
        <v>2015</v>
      </c>
      <c r="AW7" s="225"/>
      <c r="AX7" s="225">
        <v>2016</v>
      </c>
      <c r="AY7" s="225"/>
      <c r="AZ7" s="225">
        <v>2017</v>
      </c>
      <c r="BA7" s="227"/>
      <c r="BC7" s="229"/>
      <c r="BD7" s="226" t="s">
        <v>545</v>
      </c>
      <c r="BE7" s="226" t="s">
        <v>546</v>
      </c>
      <c r="BF7" s="226" t="s">
        <v>548</v>
      </c>
      <c r="BG7" s="225">
        <v>1990</v>
      </c>
      <c r="BH7" s="225"/>
      <c r="BI7" s="226">
        <v>1995</v>
      </c>
      <c r="BJ7" s="226"/>
      <c r="BK7" s="226">
        <v>1996</v>
      </c>
      <c r="BL7" s="226"/>
      <c r="BM7" s="226">
        <v>1997</v>
      </c>
      <c r="BN7" s="226"/>
      <c r="BO7" s="226">
        <v>1998</v>
      </c>
      <c r="BP7" s="226"/>
      <c r="BQ7" s="226">
        <v>1999</v>
      </c>
      <c r="BR7" s="226"/>
      <c r="BS7" s="226">
        <v>2000</v>
      </c>
      <c r="BT7" s="226"/>
      <c r="BU7" s="226">
        <v>2001</v>
      </c>
      <c r="BV7" s="226"/>
      <c r="BW7" s="226">
        <v>2002</v>
      </c>
      <c r="BX7" s="226"/>
      <c r="BY7" s="226">
        <v>2003</v>
      </c>
      <c r="BZ7" s="226"/>
      <c r="CA7" s="226">
        <v>2004</v>
      </c>
      <c r="CB7" s="226"/>
      <c r="CC7" s="226">
        <v>2005</v>
      </c>
      <c r="CD7" s="226"/>
      <c r="CE7" s="226">
        <v>2006</v>
      </c>
      <c r="CF7" s="226"/>
      <c r="CG7" s="226">
        <v>2007</v>
      </c>
      <c r="CH7" s="226"/>
      <c r="CI7" s="226">
        <v>2008</v>
      </c>
      <c r="CJ7" s="226"/>
      <c r="CK7" s="226">
        <v>2009</v>
      </c>
      <c r="CL7" s="226"/>
      <c r="CM7" s="226">
        <v>2010</v>
      </c>
      <c r="CN7" s="226"/>
      <c r="CO7" s="226">
        <v>2011</v>
      </c>
      <c r="CP7" s="226"/>
      <c r="CQ7" s="226">
        <v>2012</v>
      </c>
      <c r="CR7" s="226"/>
      <c r="CS7" s="226">
        <v>2013</v>
      </c>
      <c r="CT7" s="226"/>
      <c r="CU7" s="226">
        <v>2014</v>
      </c>
      <c r="CV7" s="226"/>
      <c r="CW7" s="226">
        <v>2015</v>
      </c>
      <c r="CX7" s="226"/>
      <c r="CY7" s="226">
        <v>2016</v>
      </c>
      <c r="CZ7" s="226"/>
      <c r="DA7" s="226">
        <v>2017</v>
      </c>
      <c r="DB7" s="227"/>
    </row>
    <row r="8" spans="1:106" s="190" customFormat="1" ht="42" customHeight="1">
      <c r="A8" s="179"/>
      <c r="B8" s="235">
        <v>275</v>
      </c>
      <c r="C8" s="396">
        <v>1</v>
      </c>
      <c r="D8" s="256" t="s">
        <v>266</v>
      </c>
      <c r="E8" s="260" t="s">
        <v>304</v>
      </c>
      <c r="F8" s="583"/>
      <c r="G8" s="593"/>
      <c r="H8" s="583"/>
      <c r="I8" s="593"/>
      <c r="J8" s="583"/>
      <c r="K8" s="593"/>
      <c r="L8" s="583"/>
      <c r="M8" s="593"/>
      <c r="N8" s="583"/>
      <c r="O8" s="593"/>
      <c r="P8" s="583"/>
      <c r="Q8" s="593"/>
      <c r="R8" s="583"/>
      <c r="S8" s="593"/>
      <c r="T8" s="583"/>
      <c r="U8" s="593"/>
      <c r="V8" s="583"/>
      <c r="W8" s="593"/>
      <c r="X8" s="583"/>
      <c r="Y8" s="593"/>
      <c r="Z8" s="583"/>
      <c r="AA8" s="593"/>
      <c r="AB8" s="583"/>
      <c r="AC8" s="593"/>
      <c r="AD8" s="583"/>
      <c r="AE8" s="593"/>
      <c r="AF8" s="583"/>
      <c r="AG8" s="593"/>
      <c r="AH8" s="583"/>
      <c r="AI8" s="593"/>
      <c r="AJ8" s="583"/>
      <c r="AK8" s="593"/>
      <c r="AL8" s="583"/>
      <c r="AM8" s="593"/>
      <c r="AN8" s="583"/>
      <c r="AO8" s="593"/>
      <c r="AP8" s="583"/>
      <c r="AQ8" s="593"/>
      <c r="AR8" s="583"/>
      <c r="AS8" s="593"/>
      <c r="AT8" s="583"/>
      <c r="AU8" s="593"/>
      <c r="AV8" s="583"/>
      <c r="AW8" s="593"/>
      <c r="AX8" s="583"/>
      <c r="AY8" s="593"/>
      <c r="AZ8" s="583"/>
      <c r="BA8" s="593"/>
      <c r="BC8" s="191"/>
      <c r="BD8" s="658">
        <v>1</v>
      </c>
      <c r="BE8" s="689" t="s">
        <v>397</v>
      </c>
      <c r="BF8" s="608" t="s">
        <v>665</v>
      </c>
      <c r="BG8" s="243" t="s">
        <v>448</v>
      </c>
      <c r="BH8" s="249"/>
      <c r="BI8" s="82" t="str">
        <f>IF(OR(ISBLANK(F8),ISBLANK(H8)),"N/A",IF(ABS((H8-F8)/F8)&gt;1,"&gt; 100%","ok"))</f>
        <v>N/A</v>
      </c>
      <c r="BJ8" s="249"/>
      <c r="BK8" s="85" t="str">
        <f>IF(OR(ISBLANK(H8),ISBLANK(J8)),"N/A",IF(ABS((J8-H8)/H8)&gt;0.25,"&gt; 25%","ok"))</f>
        <v>N/A</v>
      </c>
      <c r="BL8" s="85"/>
      <c r="BM8" s="85" t="str">
        <f>IF(OR(ISBLANK(J8),ISBLANK(L8)),"N/A",IF(ABS((L8-J8)/J8)&gt;0.25,"&gt; 25%","ok"))</f>
        <v>N/A</v>
      </c>
      <c r="BN8" s="85"/>
      <c r="BO8" s="85" t="str">
        <f>IF(OR(ISBLANK(L8),ISBLANK(N8)),"N/A",IF(ABS((N8-L8)/L8)&gt;0.25,"&gt; 25%","ok"))</f>
        <v>N/A</v>
      </c>
      <c r="BP8" s="85"/>
      <c r="BQ8" s="85" t="str">
        <f>IF(OR(ISBLANK(N8),ISBLANK(P8)),"N/A",IF(ABS((P8-N8)/N8)&gt;0.25,"&gt; 25%","ok"))</f>
        <v>N/A</v>
      </c>
      <c r="BR8" s="85"/>
      <c r="BS8" s="85" t="str">
        <f>IF(OR(ISBLANK(P8),ISBLANK(R8)),"N/A",IF(ABS((R8-P8)/P8)&gt;0.25,"&gt; 25%","ok"))</f>
        <v>N/A</v>
      </c>
      <c r="BT8" s="85"/>
      <c r="BU8" s="85" t="str">
        <f>IF(OR(ISBLANK(R8),ISBLANK(T8)),"N/A",IF(ABS((T8-R8)/R8)&gt;0.25,"&gt; 25%","ok"))</f>
        <v>N/A</v>
      </c>
      <c r="BV8" s="85"/>
      <c r="BW8" s="85" t="str">
        <f>IF(OR(ISBLANK(T8),ISBLANK(V8)),"N/A",IF(ABS((V8-T8)/T8)&gt;0.25,"&gt; 25%","ok"))</f>
        <v>N/A</v>
      </c>
      <c r="BX8" s="85"/>
      <c r="BY8" s="85" t="str">
        <f>IF(OR(ISBLANK(V8),ISBLANK(X8)),"N/A",IF(ABS((X8-V8)/V8)&gt;0.25,"&gt; 25%","ok"))</f>
        <v>N/A</v>
      </c>
      <c r="BZ8" s="85"/>
      <c r="CA8" s="85" t="str">
        <f>IF(OR(ISBLANK(X8),ISBLANK(Z8)),"N/A",IF(ABS((Z8-X8)/X8)&gt;0.25,"&gt; 25%","ok"))</f>
        <v>N/A</v>
      </c>
      <c r="CB8" s="85"/>
      <c r="CC8" s="85" t="str">
        <f>IF(OR(ISBLANK(Z8),ISBLANK(AB8)),"N/A",IF(ABS((AB8-Z8)/Z8)&gt;0.25,"&gt; 25%","ok"))</f>
        <v>N/A</v>
      </c>
      <c r="CD8" s="85"/>
      <c r="CE8" s="85" t="str">
        <f>IF(OR(ISBLANK(AB8),ISBLANK(AD8)),"N/A",IF(ABS((AD8-AB8)/AB8)&gt;0.25,"&gt; 25%","ok"))</f>
        <v>N/A</v>
      </c>
      <c r="CF8" s="85"/>
      <c r="CG8" s="85" t="str">
        <f>IF(OR(ISBLANK(AD8),ISBLANK(AF8)),"N/A",IF(ABS((AF8-AD8)/AD8)&gt;0.25,"&gt; 25%","ok"))</f>
        <v>N/A</v>
      </c>
      <c r="CH8" s="85"/>
      <c r="CI8" s="85" t="str">
        <f>IF(OR(ISBLANK(AF8),ISBLANK(AH8)),"N/A",IF(ABS((AH8-AF8)/AF8)&gt;0.25,"&gt; 25%","ok"))</f>
        <v>N/A</v>
      </c>
      <c r="CJ8" s="85"/>
      <c r="CK8" s="85" t="str">
        <f>IF(OR(ISBLANK(AH8),ISBLANK(AJ8)),"N/A",IF(ABS((AJ8-AH8)/AH8)&gt;0.25,"&gt; 25%","ok"))</f>
        <v>N/A</v>
      </c>
      <c r="CL8" s="85"/>
      <c r="CM8" s="85" t="str">
        <f>IF(OR(ISBLANK(AJ8),ISBLANK(AL8)),"N/A",IF(ABS((AL8-AJ8)/AJ8)&gt;0.25,"&gt; 25%","ok"))</f>
        <v>N/A</v>
      </c>
      <c r="CN8" s="85"/>
      <c r="CO8" s="85" t="str">
        <f>IF(OR(ISBLANK(AL8),ISBLANK(AN8)),"N/A",IF(ABS((AN8-AL8)/AL8)&gt;0.25,"&gt; 25%","ok"))</f>
        <v>N/A</v>
      </c>
      <c r="CP8" s="85"/>
      <c r="CQ8" s="85" t="str">
        <f>IF(OR(ISBLANK(AN8),ISBLANK(AP8)),"N/A",IF(ABS((AP8-AN8)/AN8)&gt;0.25,"&gt; 25%","ok"))</f>
        <v>N/A</v>
      </c>
      <c r="CR8" s="85"/>
      <c r="CS8" s="85" t="str">
        <f>IF(OR(ISBLANK(AP8),ISBLANK(AR8)),"N/A",IF(ABS((AR8-AP8)/AP8)&gt;0.25,"&gt; 25%","ok"))</f>
        <v>N/A</v>
      </c>
      <c r="CT8" s="85"/>
      <c r="CU8" s="85" t="str">
        <f>IF(OR(ISBLANK(AR8),ISBLANK(AT8)),"N/A",IF(ABS((AT8-AR8)/AR8)&gt;0.25,"&gt; 25%","ok"))</f>
        <v>N/A</v>
      </c>
      <c r="CV8" s="85"/>
      <c r="CW8" s="85" t="str">
        <f>IF(OR(ISBLANK(AT8),ISBLANK(AV8)),"N/A",IF(ABS((AV8-AT8)/AT8)&gt;0.25,"&gt; 25%","ok"))</f>
        <v>N/A</v>
      </c>
      <c r="CX8" s="85"/>
      <c r="CY8" s="85" t="str">
        <f>IF(OR(ISBLANK(AV8),ISBLANK(AX8)),"N/A",IF(ABS((AX8-AV8)/AV8)&gt;0.25,"&gt; 25%","ok"))</f>
        <v>N/A</v>
      </c>
      <c r="CZ8" s="85"/>
      <c r="DA8" s="85" t="str">
        <f>IF(OR(ISBLANK(AX8),ISBLANK(AZ8)),"N/A",IF(ABS((AZ8-AX8)/AX8)&gt;0.25,"&gt; 25%","ok"))</f>
        <v>N/A</v>
      </c>
      <c r="DB8" s="85"/>
    </row>
    <row r="9" spans="1:106" s="190" customFormat="1" ht="18" customHeight="1">
      <c r="A9" s="179"/>
      <c r="B9" s="235">
        <v>2416</v>
      </c>
      <c r="C9" s="257">
        <v>2</v>
      </c>
      <c r="D9" s="254" t="s">
        <v>344</v>
      </c>
      <c r="E9" s="260" t="s">
        <v>304</v>
      </c>
      <c r="F9" s="583"/>
      <c r="G9" s="593"/>
      <c r="H9" s="583"/>
      <c r="I9" s="593"/>
      <c r="J9" s="583"/>
      <c r="K9" s="593"/>
      <c r="L9" s="583"/>
      <c r="M9" s="593"/>
      <c r="N9" s="583"/>
      <c r="O9" s="593"/>
      <c r="P9" s="583"/>
      <c r="Q9" s="593"/>
      <c r="R9" s="583"/>
      <c r="S9" s="593"/>
      <c r="T9" s="583"/>
      <c r="U9" s="593"/>
      <c r="V9" s="583"/>
      <c r="W9" s="593"/>
      <c r="X9" s="583"/>
      <c r="Y9" s="593"/>
      <c r="Z9" s="583"/>
      <c r="AA9" s="593"/>
      <c r="AB9" s="583"/>
      <c r="AC9" s="593"/>
      <c r="AD9" s="583"/>
      <c r="AE9" s="593"/>
      <c r="AF9" s="583"/>
      <c r="AG9" s="593"/>
      <c r="AH9" s="583"/>
      <c r="AI9" s="593"/>
      <c r="AJ9" s="583"/>
      <c r="AK9" s="593"/>
      <c r="AL9" s="583"/>
      <c r="AM9" s="593"/>
      <c r="AN9" s="583"/>
      <c r="AO9" s="593"/>
      <c r="AP9" s="583"/>
      <c r="AQ9" s="593"/>
      <c r="AR9" s="583"/>
      <c r="AS9" s="593"/>
      <c r="AT9" s="583"/>
      <c r="AU9" s="593"/>
      <c r="AV9" s="583"/>
      <c r="AW9" s="593"/>
      <c r="AX9" s="583"/>
      <c r="AY9" s="593"/>
      <c r="AZ9" s="583"/>
      <c r="BA9" s="593"/>
      <c r="BC9" s="191"/>
      <c r="BD9" s="608">
        <v>2</v>
      </c>
      <c r="BE9" s="690" t="s">
        <v>398</v>
      </c>
      <c r="BF9" s="608" t="s">
        <v>665</v>
      </c>
      <c r="BG9" s="84" t="s">
        <v>448</v>
      </c>
      <c r="BH9" s="249"/>
      <c r="BI9" s="82" t="str">
        <f>IF(OR(ISBLANK(F9),ISBLANK(H9)),"N/A",IF(ABS((H9-F9)/F9)&gt;1,"&gt; 100%","ok"))</f>
        <v>N/A</v>
      </c>
      <c r="BJ9" s="249"/>
      <c r="BK9" s="85" t="str">
        <f>IF(OR(ISBLANK(H9),ISBLANK(J9)),"N/A",IF(ABS((J9-H9)/H9)&gt;0.25,"&gt; 25%","ok"))</f>
        <v>N/A</v>
      </c>
      <c r="BL9" s="85"/>
      <c r="BM9" s="85" t="str">
        <f>IF(OR(ISBLANK(J9),ISBLANK(L9)),"N/A",IF(ABS((L9-J9)/J9)&gt;0.25,"&gt; 25%","ok"))</f>
        <v>N/A</v>
      </c>
      <c r="BN9" s="85"/>
      <c r="BO9" s="85" t="str">
        <f>IF(OR(ISBLANK(L9),ISBLANK(N9)),"N/A",IF(ABS((N9-L9)/L9)&gt;0.25,"&gt; 25%","ok"))</f>
        <v>N/A</v>
      </c>
      <c r="BP9" s="85"/>
      <c r="BQ9" s="85" t="str">
        <f>IF(OR(ISBLANK(N9),ISBLANK(P9)),"N/A",IF(ABS((P9-N9)/N9)&gt;0.25,"&gt; 25%","ok"))</f>
        <v>N/A</v>
      </c>
      <c r="BR9" s="85"/>
      <c r="BS9" s="85" t="str">
        <f>IF(OR(ISBLANK(P9),ISBLANK(R9)),"N/A",IF(ABS((R9-P9)/P9)&gt;0.25,"&gt; 25%","ok"))</f>
        <v>N/A</v>
      </c>
      <c r="BT9" s="85"/>
      <c r="BU9" s="85" t="str">
        <f>IF(OR(ISBLANK(R9),ISBLANK(T9)),"N/A",IF(ABS((T9-R9)/R9)&gt;0.25,"&gt; 25%","ok"))</f>
        <v>N/A</v>
      </c>
      <c r="BV9" s="85"/>
      <c r="BW9" s="85" t="str">
        <f>IF(OR(ISBLANK(T9),ISBLANK(V9)),"N/A",IF(ABS((V9-T9)/T9)&gt;0.25,"&gt; 25%","ok"))</f>
        <v>N/A</v>
      </c>
      <c r="BX9" s="85"/>
      <c r="BY9" s="85" t="str">
        <f>IF(OR(ISBLANK(V9),ISBLANK(X9)),"N/A",IF(ABS((X9-V9)/V9)&gt;0.25,"&gt; 25%","ok"))</f>
        <v>N/A</v>
      </c>
      <c r="BZ9" s="85"/>
      <c r="CA9" s="85" t="str">
        <f>IF(OR(ISBLANK(X9),ISBLANK(Z9)),"N/A",IF(ABS((Z9-X9)/X9)&gt;0.25,"&gt; 25%","ok"))</f>
        <v>N/A</v>
      </c>
      <c r="CB9" s="85"/>
      <c r="CC9" s="85" t="str">
        <f>IF(OR(ISBLANK(Z9),ISBLANK(AB9)),"N/A",IF(ABS((AB9-Z9)/Z9)&gt;0.25,"&gt; 25%","ok"))</f>
        <v>N/A</v>
      </c>
      <c r="CD9" s="85"/>
      <c r="CE9" s="85" t="str">
        <f>IF(OR(ISBLANK(AB9),ISBLANK(AD9)),"N/A",IF(ABS((AD9-AB9)/AB9)&gt;0.25,"&gt; 25%","ok"))</f>
        <v>N/A</v>
      </c>
      <c r="CF9" s="85"/>
      <c r="CG9" s="85" t="str">
        <f>IF(OR(ISBLANK(AD9),ISBLANK(AF9)),"N/A",IF(ABS((AF9-AD9)/AD9)&gt;0.25,"&gt; 25%","ok"))</f>
        <v>N/A</v>
      </c>
      <c r="CH9" s="85"/>
      <c r="CI9" s="85" t="str">
        <f>IF(OR(ISBLANK(AF9),ISBLANK(AH9)),"N/A",IF(ABS((AH9-AF9)/AF9)&gt;0.25,"&gt; 25%","ok"))</f>
        <v>N/A</v>
      </c>
      <c r="CJ9" s="85"/>
      <c r="CK9" s="85" t="str">
        <f>IF(OR(ISBLANK(AH9),ISBLANK(AJ9)),"N/A",IF(ABS((AJ9-AH9)/AH9)&gt;0.25,"&gt; 25%","ok"))</f>
        <v>N/A</v>
      </c>
      <c r="CL9" s="85"/>
      <c r="CM9" s="85" t="str">
        <f>IF(OR(ISBLANK(AJ9),ISBLANK(AL9)),"N/A",IF(ABS((AL9-AJ9)/AJ9)&gt;0.25,"&gt; 25%","ok"))</f>
        <v>N/A</v>
      </c>
      <c r="CN9" s="85"/>
      <c r="CO9" s="85" t="str">
        <f>IF(OR(ISBLANK(AL9),ISBLANK(AN9)),"N/A",IF(ABS((AN9-AL9)/AL9)&gt;0.25,"&gt; 25%","ok"))</f>
        <v>N/A</v>
      </c>
      <c r="CP9" s="85"/>
      <c r="CQ9" s="85" t="str">
        <f>IF(OR(ISBLANK(AN9),ISBLANK(AP9)),"N/A",IF(ABS((AP9-AN9)/AN9)&gt;0.25,"&gt; 25%","ok"))</f>
        <v>N/A</v>
      </c>
      <c r="CR9" s="85"/>
      <c r="CS9" s="85" t="str">
        <f>IF(OR(ISBLANK(AP9),ISBLANK(AR9)),"N/A",IF(ABS((AR9-AP9)/AP9)&gt;0.25,"&gt; 25%","ok"))</f>
        <v>N/A</v>
      </c>
      <c r="CT9" s="85"/>
      <c r="CU9" s="85" t="str">
        <f>IF(OR(ISBLANK(AR9),ISBLANK(AT9)),"N/A",IF(ABS((AT9-AR9)/AR9)&gt;0.25,"&gt; 25%","ok"))</f>
        <v>N/A</v>
      </c>
      <c r="CV9" s="85"/>
      <c r="CW9" s="85" t="str">
        <f>IF(OR(ISBLANK(AT9),ISBLANK(AV9)),"N/A",IF(ABS((AV9-AT9)/AT9)&gt;0.25,"&gt; 25%","ok"))</f>
        <v>N/A</v>
      </c>
      <c r="CX9" s="85"/>
      <c r="CY9" s="85" t="str">
        <f>IF(OR(ISBLANK(AV9),ISBLANK(AX9)),"N/A",IF(ABS((AX9-AV9)/AV9)&gt;0.25,"&gt; 25%","ok"))</f>
        <v>N/A</v>
      </c>
      <c r="CZ9" s="85"/>
      <c r="DA9" s="85" t="str">
        <f aca="true" t="shared" si="0" ref="DA9:DA23">IF(OR(ISBLANK(AX9),ISBLANK(AZ9)),"N/A",IF(ABS((AZ9-AX9)/AX9)&gt;0.25,"&gt; 25%","ok"))</f>
        <v>N/A</v>
      </c>
      <c r="DB9" s="85"/>
    </row>
    <row r="10" spans="1:106" s="457" customFormat="1" ht="42" customHeight="1">
      <c r="A10" s="456" t="s">
        <v>440</v>
      </c>
      <c r="B10" s="235">
        <v>29</v>
      </c>
      <c r="C10" s="396">
        <v>3</v>
      </c>
      <c r="D10" s="256" t="s">
        <v>687</v>
      </c>
      <c r="E10" s="260" t="s">
        <v>304</v>
      </c>
      <c r="F10" s="583"/>
      <c r="G10" s="593"/>
      <c r="H10" s="583"/>
      <c r="I10" s="593"/>
      <c r="J10" s="583"/>
      <c r="K10" s="593"/>
      <c r="L10" s="583"/>
      <c r="M10" s="593"/>
      <c r="N10" s="583"/>
      <c r="O10" s="593"/>
      <c r="P10" s="583"/>
      <c r="Q10" s="593"/>
      <c r="R10" s="583"/>
      <c r="S10" s="593"/>
      <c r="T10" s="583"/>
      <c r="U10" s="593"/>
      <c r="V10" s="583"/>
      <c r="W10" s="593"/>
      <c r="X10" s="583"/>
      <c r="Y10" s="593"/>
      <c r="Z10" s="583"/>
      <c r="AA10" s="593"/>
      <c r="AB10" s="583"/>
      <c r="AC10" s="593"/>
      <c r="AD10" s="583"/>
      <c r="AE10" s="593"/>
      <c r="AF10" s="583"/>
      <c r="AG10" s="593"/>
      <c r="AH10" s="583"/>
      <c r="AI10" s="593"/>
      <c r="AJ10" s="583"/>
      <c r="AK10" s="593"/>
      <c r="AL10" s="583"/>
      <c r="AM10" s="593"/>
      <c r="AN10" s="583"/>
      <c r="AO10" s="593"/>
      <c r="AP10" s="583"/>
      <c r="AQ10" s="593"/>
      <c r="AR10" s="583"/>
      <c r="AS10" s="593"/>
      <c r="AT10" s="583"/>
      <c r="AU10" s="593"/>
      <c r="AV10" s="583"/>
      <c r="AW10" s="593"/>
      <c r="AX10" s="583"/>
      <c r="AY10" s="593"/>
      <c r="AZ10" s="583"/>
      <c r="BA10" s="593"/>
      <c r="BC10" s="458"/>
      <c r="BD10" s="658">
        <v>3</v>
      </c>
      <c r="BE10" s="689" t="s">
        <v>666</v>
      </c>
      <c r="BF10" s="608" t="s">
        <v>665</v>
      </c>
      <c r="BG10" s="84" t="s">
        <v>448</v>
      </c>
      <c r="BH10" s="249"/>
      <c r="BI10" s="85" t="str">
        <f>IF(OR(ISBLANK(F10),ISBLANK(H10)),"N/A",IF(ABS((H10-F10)/F10)&gt;1,"&gt; 100%","ok"))</f>
        <v>N/A</v>
      </c>
      <c r="BJ10" s="249"/>
      <c r="BK10" s="85" t="str">
        <f>IF(OR(ISBLANK(H10),ISBLANK(J10)),"N/A",IF(ABS((J10-H10)/H10)&gt;0.25,"&gt; 25%","ok"))</f>
        <v>N/A</v>
      </c>
      <c r="BL10" s="85"/>
      <c r="BM10" s="85" t="str">
        <f>IF(OR(ISBLANK(J10),ISBLANK(L10)),"N/A",IF(ABS((L10-J10)/J10)&gt;0.25,"&gt; 25%","ok"))</f>
        <v>N/A</v>
      </c>
      <c r="BN10" s="85"/>
      <c r="BO10" s="85" t="str">
        <f>IF(OR(ISBLANK(L10),ISBLANK(N10)),"N/A",IF(ABS((N10-L10)/L10)&gt;0.25,"&gt; 25%","ok"))</f>
        <v>N/A</v>
      </c>
      <c r="BP10" s="85"/>
      <c r="BQ10" s="85" t="str">
        <f>IF(OR(ISBLANK(N10),ISBLANK(P10)),"N/A",IF(ABS((P10-N10)/N10)&gt;0.25,"&gt; 25%","ok"))</f>
        <v>N/A</v>
      </c>
      <c r="BR10" s="85"/>
      <c r="BS10" s="85" t="str">
        <f>IF(OR(ISBLANK(P10),ISBLANK(R10)),"N/A",IF(ABS((R10-P10)/P10)&gt;0.25,"&gt; 25%","ok"))</f>
        <v>N/A</v>
      </c>
      <c r="BT10" s="85"/>
      <c r="BU10" s="85" t="str">
        <f>IF(OR(ISBLANK(R10),ISBLANK(T10)),"N/A",IF(ABS((T10-R10)/R10)&gt;0.25,"&gt; 25%","ok"))</f>
        <v>N/A</v>
      </c>
      <c r="BV10" s="85"/>
      <c r="BW10" s="85" t="str">
        <f>IF(OR(ISBLANK(T10),ISBLANK(V10)),"N/A",IF(ABS((V10-T10)/T10)&gt;0.25,"&gt; 25%","ok"))</f>
        <v>N/A</v>
      </c>
      <c r="BX10" s="85"/>
      <c r="BY10" s="85" t="str">
        <f>IF(OR(ISBLANK(V10),ISBLANK(X10)),"N/A",IF(ABS((X10-V10)/V10)&gt;0.25,"&gt; 25%","ok"))</f>
        <v>N/A</v>
      </c>
      <c r="BZ10" s="85"/>
      <c r="CA10" s="85" t="str">
        <f>IF(OR(ISBLANK(X10),ISBLANK(Z10)),"N/A",IF(ABS((Z10-X10)/X10)&gt;0.25,"&gt; 25%","ok"))</f>
        <v>N/A</v>
      </c>
      <c r="CB10" s="85"/>
      <c r="CC10" s="85" t="str">
        <f>IF(OR(ISBLANK(Z10),ISBLANK(AB10)),"N/A",IF(ABS((AB10-Z10)/Z10)&gt;0.25,"&gt; 25%","ok"))</f>
        <v>N/A</v>
      </c>
      <c r="CD10" s="85"/>
      <c r="CE10" s="85" t="str">
        <f>IF(OR(ISBLANK(AB10),ISBLANK(AD10)),"N/A",IF(ABS((AD10-AB10)/AB10)&gt;0.25,"&gt; 25%","ok"))</f>
        <v>N/A</v>
      </c>
      <c r="CF10" s="85"/>
      <c r="CG10" s="85" t="str">
        <f>IF(OR(ISBLANK(AD10),ISBLANK(AF10)),"N/A",IF(ABS((AF10-AD10)/AD10)&gt;0.25,"&gt; 25%","ok"))</f>
        <v>N/A</v>
      </c>
      <c r="CH10" s="85"/>
      <c r="CI10" s="85" t="str">
        <f>IF(OR(ISBLANK(AF10),ISBLANK(AH10)),"N/A",IF(ABS((AH10-AF10)/AF10)&gt;0.25,"&gt; 25%","ok"))</f>
        <v>N/A</v>
      </c>
      <c r="CJ10" s="85"/>
      <c r="CK10" s="85" t="str">
        <f>IF(OR(ISBLANK(AH10),ISBLANK(AJ10)),"N/A",IF(ABS((AJ10-AH10)/AH10)&gt;0.25,"&gt; 25%","ok"))</f>
        <v>N/A</v>
      </c>
      <c r="CL10" s="85"/>
      <c r="CM10" s="85" t="str">
        <f>IF(OR(ISBLANK(AJ10),ISBLANK(AL10)),"N/A",IF(ABS((AL10-AJ10)/AJ10)&gt;0.25,"&gt; 25%","ok"))</f>
        <v>N/A</v>
      </c>
      <c r="CN10" s="85"/>
      <c r="CO10" s="85" t="str">
        <f>IF(OR(ISBLANK(AL10),ISBLANK(AN10)),"N/A",IF(ABS((AN10-AL10)/AL10)&gt;0.25,"&gt; 25%","ok"))</f>
        <v>N/A</v>
      </c>
      <c r="CP10" s="85"/>
      <c r="CQ10" s="85" t="str">
        <f>IF(OR(ISBLANK(AN10),ISBLANK(AP10)),"N/A",IF(ABS((AP10-AN10)/AN10)&gt;0.25,"&gt; 25%","ok"))</f>
        <v>N/A</v>
      </c>
      <c r="CR10" s="85"/>
      <c r="CS10" s="85" t="str">
        <f>IF(OR(ISBLANK(AP10),ISBLANK(AR10)),"N/A",IF(ABS((AR10-AP10)/AP10)&gt;0.25,"&gt; 25%","ok"))</f>
        <v>N/A</v>
      </c>
      <c r="CT10" s="85"/>
      <c r="CU10" s="85" t="str">
        <f>IF(OR(ISBLANK(AR10),ISBLANK(AT10)),"N/A",IF(ABS((AT10-AR10)/AR10)&gt;0.25,"&gt; 25%","ok"))</f>
        <v>N/A</v>
      </c>
      <c r="CV10" s="85"/>
      <c r="CW10" s="85" t="str">
        <f>IF(OR(ISBLANK(AT10),ISBLANK(AV10)),"N/A",IF(ABS((AV10-AT10)/AT10)&gt;0.25,"&gt; 25%","ok"))</f>
        <v>N/A</v>
      </c>
      <c r="CX10" s="85"/>
      <c r="CY10" s="85" t="str">
        <f>IF(OR(ISBLANK(AV10),ISBLANK(AX10)),"N/A",IF(ABS((AX10-AV10)/AV10)&gt;0.25,"&gt; 25%","ok"))</f>
        <v>N/A</v>
      </c>
      <c r="CZ10" s="85"/>
      <c r="DA10" s="85" t="str">
        <f t="shared" si="0"/>
        <v>N/A</v>
      </c>
      <c r="DB10" s="85"/>
    </row>
    <row r="11" spans="1:106" s="457" customFormat="1" ht="25.5" customHeight="1">
      <c r="A11" s="459"/>
      <c r="B11" s="235">
        <v>5008</v>
      </c>
      <c r="C11" s="656"/>
      <c r="D11" s="657" t="s">
        <v>513</v>
      </c>
      <c r="E11" s="658"/>
      <c r="F11" s="603"/>
      <c r="G11" s="604"/>
      <c r="H11" s="603"/>
      <c r="I11" s="604"/>
      <c r="J11" s="603"/>
      <c r="K11" s="604"/>
      <c r="L11" s="603"/>
      <c r="M11" s="604"/>
      <c r="N11" s="603"/>
      <c r="O11" s="604"/>
      <c r="P11" s="603"/>
      <c r="Q11" s="604"/>
      <c r="R11" s="603"/>
      <c r="S11" s="604"/>
      <c r="T11" s="603"/>
      <c r="U11" s="604"/>
      <c r="V11" s="603"/>
      <c r="W11" s="604"/>
      <c r="X11" s="603"/>
      <c r="Y11" s="604"/>
      <c r="Z11" s="603"/>
      <c r="AA11" s="604"/>
      <c r="AB11" s="603"/>
      <c r="AC11" s="604"/>
      <c r="AD11" s="603"/>
      <c r="AE11" s="604"/>
      <c r="AF11" s="603"/>
      <c r="AG11" s="604"/>
      <c r="AH11" s="603"/>
      <c r="AI11" s="604"/>
      <c r="AJ11" s="603"/>
      <c r="AK11" s="604"/>
      <c r="AL11" s="603"/>
      <c r="AM11" s="604"/>
      <c r="AN11" s="603"/>
      <c r="AO11" s="604"/>
      <c r="AP11" s="603"/>
      <c r="AQ11" s="604"/>
      <c r="AR11" s="603"/>
      <c r="AS11" s="604"/>
      <c r="AT11" s="603"/>
      <c r="AU11" s="604"/>
      <c r="AV11" s="603"/>
      <c r="AW11" s="604"/>
      <c r="AX11" s="603"/>
      <c r="AY11" s="604"/>
      <c r="AZ11" s="603"/>
      <c r="BA11" s="604"/>
      <c r="BC11" s="458"/>
      <c r="BD11" s="656"/>
      <c r="BE11" s="691" t="s">
        <v>399</v>
      </c>
      <c r="BF11" s="658"/>
      <c r="BG11" s="100"/>
      <c r="BH11" s="244"/>
      <c r="BI11" s="82"/>
      <c r="BJ11" s="244"/>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row>
    <row r="12" spans="1:106" s="462" customFormat="1" ht="18" customHeight="1">
      <c r="A12" s="223"/>
      <c r="B12" s="235">
        <v>38</v>
      </c>
      <c r="C12" s="238">
        <v>4</v>
      </c>
      <c r="D12" s="461" t="s">
        <v>311</v>
      </c>
      <c r="E12" s="260" t="s">
        <v>304</v>
      </c>
      <c r="F12" s="586"/>
      <c r="G12" s="591"/>
      <c r="H12" s="586"/>
      <c r="I12" s="591"/>
      <c r="J12" s="586"/>
      <c r="K12" s="591"/>
      <c r="L12" s="586"/>
      <c r="M12" s="591"/>
      <c r="N12" s="586"/>
      <c r="O12" s="591"/>
      <c r="P12" s="586"/>
      <c r="Q12" s="591"/>
      <c r="R12" s="586"/>
      <c r="S12" s="591"/>
      <c r="T12" s="586"/>
      <c r="U12" s="591"/>
      <c r="V12" s="586"/>
      <c r="W12" s="591"/>
      <c r="X12" s="586"/>
      <c r="Y12" s="591"/>
      <c r="Z12" s="586"/>
      <c r="AA12" s="591"/>
      <c r="AB12" s="586"/>
      <c r="AC12" s="591"/>
      <c r="AD12" s="586"/>
      <c r="AE12" s="591"/>
      <c r="AF12" s="586"/>
      <c r="AG12" s="591"/>
      <c r="AH12" s="586"/>
      <c r="AI12" s="591"/>
      <c r="AJ12" s="586"/>
      <c r="AK12" s="591"/>
      <c r="AL12" s="586"/>
      <c r="AM12" s="591"/>
      <c r="AN12" s="586"/>
      <c r="AO12" s="591"/>
      <c r="AP12" s="586"/>
      <c r="AQ12" s="591"/>
      <c r="AR12" s="586"/>
      <c r="AS12" s="591"/>
      <c r="AT12" s="586"/>
      <c r="AU12" s="591"/>
      <c r="AV12" s="586"/>
      <c r="AW12" s="591"/>
      <c r="AX12" s="586"/>
      <c r="AY12" s="591"/>
      <c r="AZ12" s="586"/>
      <c r="BA12" s="591"/>
      <c r="BC12" s="463"/>
      <c r="BD12" s="681">
        <v>4</v>
      </c>
      <c r="BE12" s="692" t="s">
        <v>4</v>
      </c>
      <c r="BF12" s="608" t="s">
        <v>665</v>
      </c>
      <c r="BG12" s="82" t="s">
        <v>448</v>
      </c>
      <c r="BH12" s="244"/>
      <c r="BI12" s="82" t="str">
        <f aca="true" t="shared" si="1" ref="BI12:BI19">IF(OR(ISBLANK(F12),ISBLANK(H12)),"N/A",IF(ABS((H12-F12)/F12)&gt;1,"&gt; 100%","ok"))</f>
        <v>N/A</v>
      </c>
      <c r="BJ12" s="244"/>
      <c r="BK12" s="85" t="str">
        <f aca="true" t="shared" si="2" ref="BK12:BK19">IF(OR(ISBLANK(H12),ISBLANK(J12)),"N/A",IF(ABS((J12-H12)/H12)&gt;0.25,"&gt; 25%","ok"))</f>
        <v>N/A</v>
      </c>
      <c r="BL12" s="85"/>
      <c r="BM12" s="85" t="str">
        <f aca="true" t="shared" si="3" ref="BM12:BM19">IF(OR(ISBLANK(J12),ISBLANK(L12)),"N/A",IF(ABS((L12-J12)/J12)&gt;0.25,"&gt; 25%","ok"))</f>
        <v>N/A</v>
      </c>
      <c r="BN12" s="85"/>
      <c r="BO12" s="85" t="str">
        <f aca="true" t="shared" si="4" ref="BO12:BO19">IF(OR(ISBLANK(L12),ISBLANK(N12)),"N/A",IF(ABS((N12-L12)/L12)&gt;0.25,"&gt; 25%","ok"))</f>
        <v>N/A</v>
      </c>
      <c r="BP12" s="85"/>
      <c r="BQ12" s="85" t="str">
        <f aca="true" t="shared" si="5" ref="BQ12:BQ19">IF(OR(ISBLANK(N12),ISBLANK(P12)),"N/A",IF(ABS((P12-N12)/N12)&gt;0.25,"&gt; 25%","ok"))</f>
        <v>N/A</v>
      </c>
      <c r="BR12" s="85"/>
      <c r="BS12" s="85" t="str">
        <f aca="true" t="shared" si="6" ref="BS12:BS19">IF(OR(ISBLANK(P12),ISBLANK(R12)),"N/A",IF(ABS((R12-P12)/P12)&gt;0.25,"&gt; 25%","ok"))</f>
        <v>N/A</v>
      </c>
      <c r="BT12" s="85"/>
      <c r="BU12" s="85" t="str">
        <f aca="true" t="shared" si="7" ref="BU12:BU19">IF(OR(ISBLANK(R12),ISBLANK(T12)),"N/A",IF(ABS((T12-R12)/R12)&gt;0.25,"&gt; 25%","ok"))</f>
        <v>N/A</v>
      </c>
      <c r="BV12" s="85"/>
      <c r="BW12" s="85" t="str">
        <f aca="true" t="shared" si="8" ref="BW12:BW19">IF(OR(ISBLANK(T12),ISBLANK(V12)),"N/A",IF(ABS((V12-T12)/T12)&gt;0.25,"&gt; 25%","ok"))</f>
        <v>N/A</v>
      </c>
      <c r="BX12" s="85"/>
      <c r="BY12" s="85" t="str">
        <f aca="true" t="shared" si="9" ref="BY12:BY19">IF(OR(ISBLANK(V12),ISBLANK(X12)),"N/A",IF(ABS((X12-V12)/V12)&gt;0.25,"&gt; 25%","ok"))</f>
        <v>N/A</v>
      </c>
      <c r="BZ12" s="85"/>
      <c r="CA12" s="85" t="str">
        <f aca="true" t="shared" si="10" ref="CA12:CA19">IF(OR(ISBLANK(X12),ISBLANK(Z12)),"N/A",IF(ABS((Z12-X12)/X12)&gt;0.25,"&gt; 25%","ok"))</f>
        <v>N/A</v>
      </c>
      <c r="CB12" s="85"/>
      <c r="CC12" s="85" t="str">
        <f aca="true" t="shared" si="11" ref="CC12:CC19">IF(OR(ISBLANK(Z12),ISBLANK(AB12)),"N/A",IF(ABS((AB12-Z12)/Z12)&gt;0.25,"&gt; 25%","ok"))</f>
        <v>N/A</v>
      </c>
      <c r="CD12" s="85"/>
      <c r="CE12" s="85" t="str">
        <f aca="true" t="shared" si="12" ref="CE12:CE19">IF(OR(ISBLANK(AB12),ISBLANK(AD12)),"N/A",IF(ABS((AD12-AB12)/AB12)&gt;0.25,"&gt; 25%","ok"))</f>
        <v>N/A</v>
      </c>
      <c r="CF12" s="85"/>
      <c r="CG12" s="85" t="str">
        <f aca="true" t="shared" si="13" ref="CG12:CG19">IF(OR(ISBLANK(AD12),ISBLANK(AF12)),"N/A",IF(ABS((AF12-AD12)/AD12)&gt;0.25,"&gt; 25%","ok"))</f>
        <v>N/A</v>
      </c>
      <c r="CH12" s="85"/>
      <c r="CI12" s="85" t="str">
        <f aca="true" t="shared" si="14" ref="CI12:CI19">IF(OR(ISBLANK(AF12),ISBLANK(AH12)),"N/A",IF(ABS((AH12-AF12)/AF12)&gt;0.25,"&gt; 25%","ok"))</f>
        <v>N/A</v>
      </c>
      <c r="CJ12" s="85"/>
      <c r="CK12" s="85" t="str">
        <f aca="true" t="shared" si="15" ref="CK12:CK19">IF(OR(ISBLANK(AH12),ISBLANK(AJ12)),"N/A",IF(ABS((AJ12-AH12)/AH12)&gt;0.25,"&gt; 25%","ok"))</f>
        <v>N/A</v>
      </c>
      <c r="CL12" s="85"/>
      <c r="CM12" s="85" t="str">
        <f aca="true" t="shared" si="16" ref="CM12:CM19">IF(OR(ISBLANK(AJ12),ISBLANK(AL12)),"N/A",IF(ABS((AL12-AJ12)/AJ12)&gt;0.25,"&gt; 25%","ok"))</f>
        <v>N/A</v>
      </c>
      <c r="CN12" s="85"/>
      <c r="CO12" s="85" t="str">
        <f aca="true" t="shared" si="17" ref="CO12:CO19">IF(OR(ISBLANK(AL12),ISBLANK(AN12)),"N/A",IF(ABS((AN12-AL12)/AL12)&gt;0.25,"&gt; 25%","ok"))</f>
        <v>N/A</v>
      </c>
      <c r="CP12" s="85"/>
      <c r="CQ12" s="85" t="str">
        <f aca="true" t="shared" si="18" ref="CQ12:CQ19">IF(OR(ISBLANK(AN12),ISBLANK(AP12)),"N/A",IF(ABS((AP12-AN12)/AN12)&gt;0.25,"&gt; 25%","ok"))</f>
        <v>N/A</v>
      </c>
      <c r="CR12" s="85"/>
      <c r="CS12" s="85" t="str">
        <f aca="true" t="shared" si="19" ref="CS12:CS19">IF(OR(ISBLANK(AP12),ISBLANK(AR12)),"N/A",IF(ABS((AR12-AP12)/AP12)&gt;0.25,"&gt; 25%","ok"))</f>
        <v>N/A</v>
      </c>
      <c r="CT12" s="85"/>
      <c r="CU12" s="85" t="str">
        <f aca="true" t="shared" si="20" ref="CU12:CU19">IF(OR(ISBLANK(AR12),ISBLANK(AT12)),"N/A",IF(ABS((AT12-AR12)/AR12)&gt;0.25,"&gt; 25%","ok"))</f>
        <v>N/A</v>
      </c>
      <c r="CV12" s="85"/>
      <c r="CW12" s="85" t="str">
        <f aca="true" t="shared" si="21" ref="CW12:CW19">IF(OR(ISBLANK(AT12),ISBLANK(AV12)),"N/A",IF(ABS((AV12-AT12)/AT12)&gt;0.25,"&gt; 25%","ok"))</f>
        <v>N/A</v>
      </c>
      <c r="CX12" s="85"/>
      <c r="CY12" s="85" t="str">
        <f aca="true" t="shared" si="22" ref="CY12:CY19">IF(OR(ISBLANK(AV12),ISBLANK(AX12)),"N/A",IF(ABS((AX12-AV12)/AV12)&gt;0.25,"&gt; 25%","ok"))</f>
        <v>N/A</v>
      </c>
      <c r="CZ12" s="85"/>
      <c r="DA12" s="85" t="str">
        <f t="shared" si="0"/>
        <v>N/A</v>
      </c>
      <c r="DB12" s="85"/>
    </row>
    <row r="13" spans="2:106" ht="25.5" customHeight="1">
      <c r="B13" s="235">
        <v>81</v>
      </c>
      <c r="C13" s="257">
        <v>5</v>
      </c>
      <c r="D13" s="461" t="s">
        <v>629</v>
      </c>
      <c r="E13" s="260" t="s">
        <v>304</v>
      </c>
      <c r="F13" s="578"/>
      <c r="G13" s="592"/>
      <c r="H13" s="578"/>
      <c r="I13" s="592"/>
      <c r="J13" s="578"/>
      <c r="K13" s="592"/>
      <c r="L13" s="578"/>
      <c r="M13" s="592"/>
      <c r="N13" s="578"/>
      <c r="O13" s="592"/>
      <c r="P13" s="578"/>
      <c r="Q13" s="592"/>
      <c r="R13" s="578"/>
      <c r="S13" s="592"/>
      <c r="T13" s="578"/>
      <c r="U13" s="592"/>
      <c r="V13" s="578"/>
      <c r="W13" s="592"/>
      <c r="X13" s="578"/>
      <c r="Y13" s="592"/>
      <c r="Z13" s="578"/>
      <c r="AA13" s="592"/>
      <c r="AB13" s="578"/>
      <c r="AC13" s="592"/>
      <c r="AD13" s="578"/>
      <c r="AE13" s="592"/>
      <c r="AF13" s="578"/>
      <c r="AG13" s="592"/>
      <c r="AH13" s="578"/>
      <c r="AI13" s="592"/>
      <c r="AJ13" s="578"/>
      <c r="AK13" s="592"/>
      <c r="AL13" s="578"/>
      <c r="AM13" s="592"/>
      <c r="AN13" s="578"/>
      <c r="AO13" s="592"/>
      <c r="AP13" s="578"/>
      <c r="AQ13" s="592"/>
      <c r="AR13" s="578"/>
      <c r="AS13" s="592"/>
      <c r="AT13" s="578"/>
      <c r="AU13" s="592"/>
      <c r="AV13" s="578"/>
      <c r="AW13" s="592"/>
      <c r="AX13" s="578"/>
      <c r="AY13" s="592"/>
      <c r="AZ13" s="578"/>
      <c r="BA13" s="592"/>
      <c r="BD13" s="608">
        <v>5</v>
      </c>
      <c r="BE13" s="693" t="s">
        <v>456</v>
      </c>
      <c r="BF13" s="608" t="s">
        <v>665</v>
      </c>
      <c r="BG13" s="84" t="s">
        <v>448</v>
      </c>
      <c r="BH13" s="249"/>
      <c r="BI13" s="82" t="str">
        <f t="shared" si="1"/>
        <v>N/A</v>
      </c>
      <c r="BJ13" s="249"/>
      <c r="BK13" s="85" t="str">
        <f t="shared" si="2"/>
        <v>N/A</v>
      </c>
      <c r="BL13" s="85"/>
      <c r="BM13" s="85" t="str">
        <f t="shared" si="3"/>
        <v>N/A</v>
      </c>
      <c r="BN13" s="85"/>
      <c r="BO13" s="85" t="str">
        <f t="shared" si="4"/>
        <v>N/A</v>
      </c>
      <c r="BP13" s="85"/>
      <c r="BQ13" s="85" t="str">
        <f t="shared" si="5"/>
        <v>N/A</v>
      </c>
      <c r="BR13" s="85"/>
      <c r="BS13" s="85" t="str">
        <f t="shared" si="6"/>
        <v>N/A</v>
      </c>
      <c r="BT13" s="85"/>
      <c r="BU13" s="85" t="str">
        <f t="shared" si="7"/>
        <v>N/A</v>
      </c>
      <c r="BV13" s="85"/>
      <c r="BW13" s="85" t="str">
        <f t="shared" si="8"/>
        <v>N/A</v>
      </c>
      <c r="BX13" s="85"/>
      <c r="BY13" s="85" t="str">
        <f t="shared" si="9"/>
        <v>N/A</v>
      </c>
      <c r="BZ13" s="85"/>
      <c r="CA13" s="85" t="str">
        <f t="shared" si="10"/>
        <v>N/A</v>
      </c>
      <c r="CB13" s="85"/>
      <c r="CC13" s="85" t="str">
        <f t="shared" si="11"/>
        <v>N/A</v>
      </c>
      <c r="CD13" s="85"/>
      <c r="CE13" s="85" t="str">
        <f t="shared" si="12"/>
        <v>N/A</v>
      </c>
      <c r="CF13" s="85"/>
      <c r="CG13" s="85" t="str">
        <f t="shared" si="13"/>
        <v>N/A</v>
      </c>
      <c r="CH13" s="85"/>
      <c r="CI13" s="85" t="str">
        <f t="shared" si="14"/>
        <v>N/A</v>
      </c>
      <c r="CJ13" s="85"/>
      <c r="CK13" s="85" t="str">
        <f t="shared" si="15"/>
        <v>N/A</v>
      </c>
      <c r="CL13" s="85"/>
      <c r="CM13" s="85" t="str">
        <f t="shared" si="16"/>
        <v>N/A</v>
      </c>
      <c r="CN13" s="85"/>
      <c r="CO13" s="85" t="str">
        <f t="shared" si="17"/>
        <v>N/A</v>
      </c>
      <c r="CP13" s="85"/>
      <c r="CQ13" s="85" t="str">
        <f t="shared" si="18"/>
        <v>N/A</v>
      </c>
      <c r="CR13" s="85"/>
      <c r="CS13" s="85" t="str">
        <f t="shared" si="19"/>
        <v>N/A</v>
      </c>
      <c r="CT13" s="85"/>
      <c r="CU13" s="85" t="str">
        <f t="shared" si="20"/>
        <v>N/A</v>
      </c>
      <c r="CV13" s="85"/>
      <c r="CW13" s="85" t="str">
        <f t="shared" si="21"/>
        <v>N/A</v>
      </c>
      <c r="CX13" s="85"/>
      <c r="CY13" s="85" t="str">
        <f t="shared" si="22"/>
        <v>N/A</v>
      </c>
      <c r="CZ13" s="85"/>
      <c r="DA13" s="85" t="str">
        <f t="shared" si="0"/>
        <v>N/A</v>
      </c>
      <c r="DB13" s="85"/>
    </row>
    <row r="14" spans="2:106" ht="25.5" customHeight="1">
      <c r="B14" s="235">
        <v>42</v>
      </c>
      <c r="C14" s="257">
        <v>6</v>
      </c>
      <c r="D14" s="461" t="s">
        <v>573</v>
      </c>
      <c r="E14" s="260" t="s">
        <v>304</v>
      </c>
      <c r="F14" s="578"/>
      <c r="G14" s="592"/>
      <c r="H14" s="578"/>
      <c r="I14" s="592"/>
      <c r="J14" s="578"/>
      <c r="K14" s="592"/>
      <c r="L14" s="578"/>
      <c r="M14" s="592"/>
      <c r="N14" s="578"/>
      <c r="O14" s="592"/>
      <c r="P14" s="578"/>
      <c r="Q14" s="592"/>
      <c r="R14" s="578"/>
      <c r="S14" s="592"/>
      <c r="T14" s="578"/>
      <c r="U14" s="592"/>
      <c r="V14" s="578"/>
      <c r="W14" s="592"/>
      <c r="X14" s="578"/>
      <c r="Y14" s="592"/>
      <c r="Z14" s="578"/>
      <c r="AA14" s="592"/>
      <c r="AB14" s="578"/>
      <c r="AC14" s="592"/>
      <c r="AD14" s="578"/>
      <c r="AE14" s="592"/>
      <c r="AF14" s="578"/>
      <c r="AG14" s="592"/>
      <c r="AH14" s="578"/>
      <c r="AI14" s="592"/>
      <c r="AJ14" s="578"/>
      <c r="AK14" s="592"/>
      <c r="AL14" s="578"/>
      <c r="AM14" s="592"/>
      <c r="AN14" s="578"/>
      <c r="AO14" s="592"/>
      <c r="AP14" s="578"/>
      <c r="AQ14" s="592"/>
      <c r="AR14" s="578"/>
      <c r="AS14" s="592"/>
      <c r="AT14" s="578"/>
      <c r="AU14" s="592"/>
      <c r="AV14" s="578"/>
      <c r="AW14" s="592"/>
      <c r="AX14" s="578"/>
      <c r="AY14" s="592"/>
      <c r="AZ14" s="578"/>
      <c r="BA14" s="592"/>
      <c r="BD14" s="608">
        <v>6</v>
      </c>
      <c r="BE14" s="693" t="s">
        <v>646</v>
      </c>
      <c r="BF14" s="608" t="s">
        <v>665</v>
      </c>
      <c r="BG14" s="84"/>
      <c r="BH14" s="249"/>
      <c r="BI14" s="82" t="str">
        <f t="shared" si="1"/>
        <v>N/A</v>
      </c>
      <c r="BJ14" s="249"/>
      <c r="BK14" s="85" t="str">
        <f t="shared" si="2"/>
        <v>N/A</v>
      </c>
      <c r="BL14" s="85"/>
      <c r="BM14" s="85" t="str">
        <f t="shared" si="3"/>
        <v>N/A</v>
      </c>
      <c r="BN14" s="85"/>
      <c r="BO14" s="85" t="str">
        <f t="shared" si="4"/>
        <v>N/A</v>
      </c>
      <c r="BP14" s="85"/>
      <c r="BQ14" s="85" t="str">
        <f t="shared" si="5"/>
        <v>N/A</v>
      </c>
      <c r="BR14" s="85"/>
      <c r="BS14" s="85" t="str">
        <f t="shared" si="6"/>
        <v>N/A</v>
      </c>
      <c r="BT14" s="85"/>
      <c r="BU14" s="85" t="str">
        <f t="shared" si="7"/>
        <v>N/A</v>
      </c>
      <c r="BV14" s="85"/>
      <c r="BW14" s="85" t="str">
        <f t="shared" si="8"/>
        <v>N/A</v>
      </c>
      <c r="BX14" s="85"/>
      <c r="BY14" s="85" t="str">
        <f t="shared" si="9"/>
        <v>N/A</v>
      </c>
      <c r="BZ14" s="85"/>
      <c r="CA14" s="85" t="str">
        <f t="shared" si="10"/>
        <v>N/A</v>
      </c>
      <c r="CB14" s="85"/>
      <c r="CC14" s="85" t="str">
        <f t="shared" si="11"/>
        <v>N/A</v>
      </c>
      <c r="CD14" s="85"/>
      <c r="CE14" s="85" t="str">
        <f t="shared" si="12"/>
        <v>N/A</v>
      </c>
      <c r="CF14" s="85"/>
      <c r="CG14" s="85" t="str">
        <f t="shared" si="13"/>
        <v>N/A</v>
      </c>
      <c r="CH14" s="85"/>
      <c r="CI14" s="85" t="str">
        <f t="shared" si="14"/>
        <v>N/A</v>
      </c>
      <c r="CJ14" s="85"/>
      <c r="CK14" s="85" t="str">
        <f t="shared" si="15"/>
        <v>N/A</v>
      </c>
      <c r="CL14" s="85"/>
      <c r="CM14" s="85" t="str">
        <f t="shared" si="16"/>
        <v>N/A</v>
      </c>
      <c r="CN14" s="85"/>
      <c r="CO14" s="85" t="str">
        <f t="shared" si="17"/>
        <v>N/A</v>
      </c>
      <c r="CP14" s="85"/>
      <c r="CQ14" s="85" t="str">
        <f t="shared" si="18"/>
        <v>N/A</v>
      </c>
      <c r="CR14" s="85"/>
      <c r="CS14" s="85" t="str">
        <f t="shared" si="19"/>
        <v>N/A</v>
      </c>
      <c r="CT14" s="85"/>
      <c r="CU14" s="85" t="str">
        <f t="shared" si="20"/>
        <v>N/A</v>
      </c>
      <c r="CV14" s="85"/>
      <c r="CW14" s="85" t="str">
        <f t="shared" si="21"/>
        <v>N/A</v>
      </c>
      <c r="CX14" s="85"/>
      <c r="CY14" s="85" t="str">
        <f t="shared" si="22"/>
        <v>N/A</v>
      </c>
      <c r="CZ14" s="85"/>
      <c r="DA14" s="85" t="str">
        <f>IF(OR(ISBLANK(AX14),ISBLANK(AZ14)),"N/A",IF(ABS((AZ14-AX14)/AX14)&gt;0.25,"&gt; 25%","ok"))</f>
        <v>N/A</v>
      </c>
      <c r="DB14" s="85"/>
    </row>
    <row r="15" spans="2:106" ht="25.5" customHeight="1">
      <c r="B15" s="235">
        <v>33</v>
      </c>
      <c r="C15" s="257">
        <v>7</v>
      </c>
      <c r="D15" s="461" t="s">
        <v>345</v>
      </c>
      <c r="E15" s="260" t="s">
        <v>304</v>
      </c>
      <c r="F15" s="578"/>
      <c r="G15" s="592"/>
      <c r="H15" s="578"/>
      <c r="I15" s="592"/>
      <c r="J15" s="578"/>
      <c r="K15" s="592"/>
      <c r="L15" s="578"/>
      <c r="M15" s="592"/>
      <c r="N15" s="578"/>
      <c r="O15" s="592"/>
      <c r="P15" s="578"/>
      <c r="Q15" s="592"/>
      <c r="R15" s="578"/>
      <c r="S15" s="592"/>
      <c r="T15" s="578"/>
      <c r="U15" s="592"/>
      <c r="V15" s="578"/>
      <c r="W15" s="592"/>
      <c r="X15" s="578"/>
      <c r="Y15" s="592"/>
      <c r="Z15" s="578"/>
      <c r="AA15" s="592"/>
      <c r="AB15" s="578"/>
      <c r="AC15" s="592"/>
      <c r="AD15" s="578"/>
      <c r="AE15" s="592"/>
      <c r="AF15" s="578"/>
      <c r="AG15" s="592"/>
      <c r="AH15" s="578"/>
      <c r="AI15" s="592"/>
      <c r="AJ15" s="578"/>
      <c r="AK15" s="592"/>
      <c r="AL15" s="578"/>
      <c r="AM15" s="592"/>
      <c r="AN15" s="578"/>
      <c r="AO15" s="592"/>
      <c r="AP15" s="578"/>
      <c r="AQ15" s="592"/>
      <c r="AR15" s="578"/>
      <c r="AS15" s="592"/>
      <c r="AT15" s="578"/>
      <c r="AU15" s="592"/>
      <c r="AV15" s="578"/>
      <c r="AW15" s="592"/>
      <c r="AX15" s="578"/>
      <c r="AY15" s="592"/>
      <c r="AZ15" s="578"/>
      <c r="BA15" s="592"/>
      <c r="BD15" s="608">
        <v>7</v>
      </c>
      <c r="BE15" s="693" t="s">
        <v>383</v>
      </c>
      <c r="BF15" s="608" t="s">
        <v>665</v>
      </c>
      <c r="BG15" s="84" t="s">
        <v>448</v>
      </c>
      <c r="BH15" s="249"/>
      <c r="BI15" s="82" t="str">
        <f t="shared" si="1"/>
        <v>N/A</v>
      </c>
      <c r="BJ15" s="249"/>
      <c r="BK15" s="85" t="str">
        <f t="shared" si="2"/>
        <v>N/A</v>
      </c>
      <c r="BL15" s="85"/>
      <c r="BM15" s="85" t="str">
        <f t="shared" si="3"/>
        <v>N/A</v>
      </c>
      <c r="BN15" s="85"/>
      <c r="BO15" s="85" t="str">
        <f t="shared" si="4"/>
        <v>N/A</v>
      </c>
      <c r="BP15" s="85"/>
      <c r="BQ15" s="85" t="str">
        <f t="shared" si="5"/>
        <v>N/A</v>
      </c>
      <c r="BR15" s="85"/>
      <c r="BS15" s="85" t="str">
        <f t="shared" si="6"/>
        <v>N/A</v>
      </c>
      <c r="BT15" s="85"/>
      <c r="BU15" s="85" t="str">
        <f t="shared" si="7"/>
        <v>N/A</v>
      </c>
      <c r="BV15" s="85"/>
      <c r="BW15" s="85" t="str">
        <f t="shared" si="8"/>
        <v>N/A</v>
      </c>
      <c r="BX15" s="85"/>
      <c r="BY15" s="85" t="str">
        <f t="shared" si="9"/>
        <v>N/A</v>
      </c>
      <c r="BZ15" s="85"/>
      <c r="CA15" s="85" t="str">
        <f t="shared" si="10"/>
        <v>N/A</v>
      </c>
      <c r="CB15" s="85"/>
      <c r="CC15" s="85" t="str">
        <f t="shared" si="11"/>
        <v>N/A</v>
      </c>
      <c r="CD15" s="85"/>
      <c r="CE15" s="85" t="str">
        <f t="shared" si="12"/>
        <v>N/A</v>
      </c>
      <c r="CF15" s="85"/>
      <c r="CG15" s="85" t="str">
        <f t="shared" si="13"/>
        <v>N/A</v>
      </c>
      <c r="CH15" s="85"/>
      <c r="CI15" s="85" t="str">
        <f t="shared" si="14"/>
        <v>N/A</v>
      </c>
      <c r="CJ15" s="85"/>
      <c r="CK15" s="85" t="str">
        <f t="shared" si="15"/>
        <v>N/A</v>
      </c>
      <c r="CL15" s="85"/>
      <c r="CM15" s="85" t="str">
        <f t="shared" si="16"/>
        <v>N/A</v>
      </c>
      <c r="CN15" s="85"/>
      <c r="CO15" s="85" t="str">
        <f t="shared" si="17"/>
        <v>N/A</v>
      </c>
      <c r="CP15" s="85"/>
      <c r="CQ15" s="85" t="str">
        <f t="shared" si="18"/>
        <v>N/A</v>
      </c>
      <c r="CR15" s="85"/>
      <c r="CS15" s="85" t="str">
        <f t="shared" si="19"/>
        <v>N/A</v>
      </c>
      <c r="CT15" s="85"/>
      <c r="CU15" s="85" t="str">
        <f t="shared" si="20"/>
        <v>N/A</v>
      </c>
      <c r="CV15" s="85"/>
      <c r="CW15" s="85" t="str">
        <f t="shared" si="21"/>
        <v>N/A</v>
      </c>
      <c r="CX15" s="85"/>
      <c r="CY15" s="85" t="str">
        <f t="shared" si="22"/>
        <v>N/A</v>
      </c>
      <c r="CZ15" s="85"/>
      <c r="DA15" s="85" t="str">
        <f t="shared" si="0"/>
        <v>N/A</v>
      </c>
      <c r="DB15" s="85"/>
    </row>
    <row r="16" spans="2:106" ht="39" customHeight="1">
      <c r="B16" s="235">
        <v>44</v>
      </c>
      <c r="C16" s="238">
        <v>8</v>
      </c>
      <c r="D16" s="461" t="s">
        <v>574</v>
      </c>
      <c r="E16" s="260" t="s">
        <v>304</v>
      </c>
      <c r="F16" s="578"/>
      <c r="G16" s="592"/>
      <c r="H16" s="578"/>
      <c r="I16" s="592"/>
      <c r="J16" s="578"/>
      <c r="K16" s="592"/>
      <c r="L16" s="578"/>
      <c r="M16" s="592"/>
      <c r="N16" s="578"/>
      <c r="O16" s="592"/>
      <c r="P16" s="578"/>
      <c r="Q16" s="592"/>
      <c r="R16" s="578"/>
      <c r="S16" s="592"/>
      <c r="T16" s="578"/>
      <c r="U16" s="592"/>
      <c r="V16" s="578"/>
      <c r="W16" s="592"/>
      <c r="X16" s="578"/>
      <c r="Y16" s="592"/>
      <c r="Z16" s="578"/>
      <c r="AA16" s="592"/>
      <c r="AB16" s="578"/>
      <c r="AC16" s="592"/>
      <c r="AD16" s="578"/>
      <c r="AE16" s="592"/>
      <c r="AF16" s="578"/>
      <c r="AG16" s="592"/>
      <c r="AH16" s="578"/>
      <c r="AI16" s="592"/>
      <c r="AJ16" s="578"/>
      <c r="AK16" s="592"/>
      <c r="AL16" s="578"/>
      <c r="AM16" s="592"/>
      <c r="AN16" s="578"/>
      <c r="AO16" s="592"/>
      <c r="AP16" s="578"/>
      <c r="AQ16" s="592"/>
      <c r="AR16" s="578"/>
      <c r="AS16" s="592"/>
      <c r="AT16" s="578"/>
      <c r="AU16" s="592"/>
      <c r="AV16" s="578"/>
      <c r="AW16" s="592"/>
      <c r="AX16" s="578"/>
      <c r="AY16" s="592"/>
      <c r="AZ16" s="578"/>
      <c r="BA16" s="592"/>
      <c r="BD16" s="681">
        <v>8</v>
      </c>
      <c r="BE16" s="694" t="s">
        <v>667</v>
      </c>
      <c r="BF16" s="608" t="s">
        <v>665</v>
      </c>
      <c r="BG16" s="84"/>
      <c r="BH16" s="249"/>
      <c r="BI16" s="82" t="str">
        <f t="shared" si="1"/>
        <v>N/A</v>
      </c>
      <c r="BJ16" s="249"/>
      <c r="BK16" s="85" t="str">
        <f t="shared" si="2"/>
        <v>N/A</v>
      </c>
      <c r="BL16" s="85"/>
      <c r="BM16" s="85" t="str">
        <f t="shared" si="3"/>
        <v>N/A</v>
      </c>
      <c r="BN16" s="85"/>
      <c r="BO16" s="85" t="str">
        <f t="shared" si="4"/>
        <v>N/A</v>
      </c>
      <c r="BP16" s="85"/>
      <c r="BQ16" s="85" t="str">
        <f t="shared" si="5"/>
        <v>N/A</v>
      </c>
      <c r="BR16" s="85"/>
      <c r="BS16" s="85" t="str">
        <f t="shared" si="6"/>
        <v>N/A</v>
      </c>
      <c r="BT16" s="85"/>
      <c r="BU16" s="85" t="str">
        <f t="shared" si="7"/>
        <v>N/A</v>
      </c>
      <c r="BV16" s="85"/>
      <c r="BW16" s="85" t="str">
        <f t="shared" si="8"/>
        <v>N/A</v>
      </c>
      <c r="BX16" s="85"/>
      <c r="BY16" s="85" t="str">
        <f t="shared" si="9"/>
        <v>N/A</v>
      </c>
      <c r="BZ16" s="85"/>
      <c r="CA16" s="85" t="str">
        <f t="shared" si="10"/>
        <v>N/A</v>
      </c>
      <c r="CB16" s="85"/>
      <c r="CC16" s="85" t="str">
        <f t="shared" si="11"/>
        <v>N/A</v>
      </c>
      <c r="CD16" s="85"/>
      <c r="CE16" s="85" t="str">
        <f t="shared" si="12"/>
        <v>N/A</v>
      </c>
      <c r="CF16" s="85"/>
      <c r="CG16" s="85" t="str">
        <f t="shared" si="13"/>
        <v>N/A</v>
      </c>
      <c r="CH16" s="85"/>
      <c r="CI16" s="85" t="str">
        <f t="shared" si="14"/>
        <v>N/A</v>
      </c>
      <c r="CJ16" s="85"/>
      <c r="CK16" s="85" t="str">
        <f t="shared" si="15"/>
        <v>N/A</v>
      </c>
      <c r="CL16" s="85"/>
      <c r="CM16" s="85" t="str">
        <f t="shared" si="16"/>
        <v>N/A</v>
      </c>
      <c r="CN16" s="85"/>
      <c r="CO16" s="85" t="str">
        <f t="shared" si="17"/>
        <v>N/A</v>
      </c>
      <c r="CP16" s="85"/>
      <c r="CQ16" s="85" t="str">
        <f t="shared" si="18"/>
        <v>N/A</v>
      </c>
      <c r="CR16" s="85"/>
      <c r="CS16" s="85" t="str">
        <f t="shared" si="19"/>
        <v>N/A</v>
      </c>
      <c r="CT16" s="85"/>
      <c r="CU16" s="85" t="str">
        <f t="shared" si="20"/>
        <v>N/A</v>
      </c>
      <c r="CV16" s="85"/>
      <c r="CW16" s="85" t="str">
        <f t="shared" si="21"/>
        <v>N/A</v>
      </c>
      <c r="CX16" s="85"/>
      <c r="CY16" s="85" t="str">
        <f t="shared" si="22"/>
        <v>N/A</v>
      </c>
      <c r="CZ16" s="85"/>
      <c r="DA16" s="85" t="str">
        <f>IF(OR(ISBLANK(AX16),ISBLANK(AZ16)),"N/A",IF(ABS((AZ16-AX16)/AX16)&gt;0.25,"&gt; 25%","ok"))</f>
        <v>N/A</v>
      </c>
      <c r="DB16" s="85"/>
    </row>
    <row r="17" spans="2:106" ht="35.25" customHeight="1">
      <c r="B17" s="235">
        <v>82</v>
      </c>
      <c r="C17" s="238">
        <v>9</v>
      </c>
      <c r="D17" s="666" t="s">
        <v>575</v>
      </c>
      <c r="E17" s="260" t="s">
        <v>304</v>
      </c>
      <c r="F17" s="587"/>
      <c r="G17" s="597"/>
      <c r="H17" s="587"/>
      <c r="I17" s="597"/>
      <c r="J17" s="587"/>
      <c r="K17" s="597"/>
      <c r="L17" s="587"/>
      <c r="M17" s="597"/>
      <c r="N17" s="587"/>
      <c r="O17" s="597"/>
      <c r="P17" s="587"/>
      <c r="Q17" s="597"/>
      <c r="R17" s="587"/>
      <c r="S17" s="597"/>
      <c r="T17" s="587"/>
      <c r="U17" s="597"/>
      <c r="V17" s="587"/>
      <c r="W17" s="597"/>
      <c r="X17" s="587"/>
      <c r="Y17" s="597"/>
      <c r="Z17" s="587"/>
      <c r="AA17" s="597"/>
      <c r="AB17" s="587"/>
      <c r="AC17" s="597"/>
      <c r="AD17" s="587"/>
      <c r="AE17" s="597"/>
      <c r="AF17" s="587"/>
      <c r="AG17" s="597"/>
      <c r="AH17" s="587"/>
      <c r="AI17" s="597"/>
      <c r="AJ17" s="587"/>
      <c r="AK17" s="597"/>
      <c r="AL17" s="587"/>
      <c r="AM17" s="597"/>
      <c r="AN17" s="587"/>
      <c r="AO17" s="597"/>
      <c r="AP17" s="587"/>
      <c r="AQ17" s="597"/>
      <c r="AR17" s="587"/>
      <c r="AS17" s="597"/>
      <c r="AT17" s="587"/>
      <c r="AU17" s="597"/>
      <c r="AV17" s="587"/>
      <c r="AW17" s="597"/>
      <c r="AX17" s="587"/>
      <c r="AY17" s="597"/>
      <c r="AZ17" s="587"/>
      <c r="BA17" s="597"/>
      <c r="BD17" s="681">
        <v>9</v>
      </c>
      <c r="BE17" s="695" t="s">
        <v>668</v>
      </c>
      <c r="BF17" s="608" t="s">
        <v>665</v>
      </c>
      <c r="BG17" s="84" t="s">
        <v>448</v>
      </c>
      <c r="BH17" s="249"/>
      <c r="BI17" s="82" t="str">
        <f t="shared" si="1"/>
        <v>N/A</v>
      </c>
      <c r="BJ17" s="249"/>
      <c r="BK17" s="85" t="str">
        <f t="shared" si="2"/>
        <v>N/A</v>
      </c>
      <c r="BL17" s="85"/>
      <c r="BM17" s="85" t="str">
        <f t="shared" si="3"/>
        <v>N/A</v>
      </c>
      <c r="BN17" s="85"/>
      <c r="BO17" s="85" t="str">
        <f t="shared" si="4"/>
        <v>N/A</v>
      </c>
      <c r="BP17" s="85"/>
      <c r="BQ17" s="85" t="str">
        <f t="shared" si="5"/>
        <v>N/A</v>
      </c>
      <c r="BR17" s="85"/>
      <c r="BS17" s="85" t="str">
        <f t="shared" si="6"/>
        <v>N/A</v>
      </c>
      <c r="BT17" s="85"/>
      <c r="BU17" s="85" t="str">
        <f t="shared" si="7"/>
        <v>N/A</v>
      </c>
      <c r="BV17" s="85"/>
      <c r="BW17" s="85" t="str">
        <f t="shared" si="8"/>
        <v>N/A</v>
      </c>
      <c r="BX17" s="85"/>
      <c r="BY17" s="85" t="str">
        <f t="shared" si="9"/>
        <v>N/A</v>
      </c>
      <c r="BZ17" s="85"/>
      <c r="CA17" s="85" t="str">
        <f t="shared" si="10"/>
        <v>N/A</v>
      </c>
      <c r="CB17" s="85"/>
      <c r="CC17" s="85" t="str">
        <f t="shared" si="11"/>
        <v>N/A</v>
      </c>
      <c r="CD17" s="85"/>
      <c r="CE17" s="85" t="str">
        <f t="shared" si="12"/>
        <v>N/A</v>
      </c>
      <c r="CF17" s="85"/>
      <c r="CG17" s="85" t="str">
        <f t="shared" si="13"/>
        <v>N/A</v>
      </c>
      <c r="CH17" s="85"/>
      <c r="CI17" s="85" t="str">
        <f t="shared" si="14"/>
        <v>N/A</v>
      </c>
      <c r="CJ17" s="85"/>
      <c r="CK17" s="85" t="str">
        <f t="shared" si="15"/>
        <v>N/A</v>
      </c>
      <c r="CL17" s="85"/>
      <c r="CM17" s="85" t="str">
        <f t="shared" si="16"/>
        <v>N/A</v>
      </c>
      <c r="CN17" s="85"/>
      <c r="CO17" s="85" t="str">
        <f t="shared" si="17"/>
        <v>N/A</v>
      </c>
      <c r="CP17" s="85"/>
      <c r="CQ17" s="85" t="str">
        <f t="shared" si="18"/>
        <v>N/A</v>
      </c>
      <c r="CR17" s="85"/>
      <c r="CS17" s="85" t="str">
        <f t="shared" si="19"/>
        <v>N/A</v>
      </c>
      <c r="CT17" s="85"/>
      <c r="CU17" s="85" t="str">
        <f t="shared" si="20"/>
        <v>N/A</v>
      </c>
      <c r="CV17" s="85"/>
      <c r="CW17" s="85" t="str">
        <f t="shared" si="21"/>
        <v>N/A</v>
      </c>
      <c r="CX17" s="85"/>
      <c r="CY17" s="85" t="str">
        <f t="shared" si="22"/>
        <v>N/A</v>
      </c>
      <c r="CZ17" s="85"/>
      <c r="DA17" s="85" t="str">
        <f t="shared" si="0"/>
        <v>N/A</v>
      </c>
      <c r="DB17" s="85"/>
    </row>
    <row r="18" spans="2:106" ht="18" customHeight="1">
      <c r="B18" s="235">
        <v>46</v>
      </c>
      <c r="C18" s="238">
        <v>10</v>
      </c>
      <c r="D18" s="461" t="s">
        <v>576</v>
      </c>
      <c r="E18" s="260" t="s">
        <v>304</v>
      </c>
      <c r="F18" s="587"/>
      <c r="G18" s="597"/>
      <c r="H18" s="587"/>
      <c r="I18" s="597"/>
      <c r="J18" s="587"/>
      <c r="K18" s="597"/>
      <c r="L18" s="587"/>
      <c r="M18" s="597"/>
      <c r="N18" s="587"/>
      <c r="O18" s="597"/>
      <c r="P18" s="587"/>
      <c r="Q18" s="597"/>
      <c r="R18" s="587"/>
      <c r="S18" s="597"/>
      <c r="T18" s="587"/>
      <c r="U18" s="597"/>
      <c r="V18" s="587"/>
      <c r="W18" s="597"/>
      <c r="X18" s="587"/>
      <c r="Y18" s="597"/>
      <c r="Z18" s="587"/>
      <c r="AA18" s="597"/>
      <c r="AB18" s="587"/>
      <c r="AC18" s="597"/>
      <c r="AD18" s="587"/>
      <c r="AE18" s="597"/>
      <c r="AF18" s="587"/>
      <c r="AG18" s="597"/>
      <c r="AH18" s="587"/>
      <c r="AI18" s="597"/>
      <c r="AJ18" s="587"/>
      <c r="AK18" s="597"/>
      <c r="AL18" s="587"/>
      <c r="AM18" s="597"/>
      <c r="AN18" s="587"/>
      <c r="AO18" s="597"/>
      <c r="AP18" s="587"/>
      <c r="AQ18" s="597"/>
      <c r="AR18" s="587"/>
      <c r="AS18" s="597"/>
      <c r="AT18" s="587"/>
      <c r="AU18" s="597"/>
      <c r="AV18" s="587"/>
      <c r="AW18" s="597"/>
      <c r="AX18" s="587"/>
      <c r="AY18" s="597"/>
      <c r="AZ18" s="587"/>
      <c r="BA18" s="597"/>
      <c r="BD18" s="681">
        <v>10</v>
      </c>
      <c r="BE18" s="692" t="s">
        <v>649</v>
      </c>
      <c r="BF18" s="608" t="s">
        <v>665</v>
      </c>
      <c r="BG18" s="261"/>
      <c r="BH18" s="262"/>
      <c r="BI18" s="82" t="str">
        <f t="shared" si="1"/>
        <v>N/A</v>
      </c>
      <c r="BJ18" s="249"/>
      <c r="BK18" s="85" t="str">
        <f t="shared" si="2"/>
        <v>N/A</v>
      </c>
      <c r="BL18" s="85"/>
      <c r="BM18" s="85" t="str">
        <f t="shared" si="3"/>
        <v>N/A</v>
      </c>
      <c r="BN18" s="85"/>
      <c r="BO18" s="85" t="str">
        <f t="shared" si="4"/>
        <v>N/A</v>
      </c>
      <c r="BP18" s="85"/>
      <c r="BQ18" s="85" t="str">
        <f t="shared" si="5"/>
        <v>N/A</v>
      </c>
      <c r="BR18" s="85"/>
      <c r="BS18" s="85" t="str">
        <f t="shared" si="6"/>
        <v>N/A</v>
      </c>
      <c r="BT18" s="85"/>
      <c r="BU18" s="85" t="str">
        <f t="shared" si="7"/>
        <v>N/A</v>
      </c>
      <c r="BV18" s="85"/>
      <c r="BW18" s="85" t="str">
        <f t="shared" si="8"/>
        <v>N/A</v>
      </c>
      <c r="BX18" s="85"/>
      <c r="BY18" s="85" t="str">
        <f t="shared" si="9"/>
        <v>N/A</v>
      </c>
      <c r="BZ18" s="85"/>
      <c r="CA18" s="85" t="str">
        <f t="shared" si="10"/>
        <v>N/A</v>
      </c>
      <c r="CB18" s="85"/>
      <c r="CC18" s="85" t="str">
        <f t="shared" si="11"/>
        <v>N/A</v>
      </c>
      <c r="CD18" s="85"/>
      <c r="CE18" s="85" t="str">
        <f t="shared" si="12"/>
        <v>N/A</v>
      </c>
      <c r="CF18" s="85"/>
      <c r="CG18" s="85" t="str">
        <f t="shared" si="13"/>
        <v>N/A</v>
      </c>
      <c r="CH18" s="85"/>
      <c r="CI18" s="85" t="str">
        <f t="shared" si="14"/>
        <v>N/A</v>
      </c>
      <c r="CJ18" s="85"/>
      <c r="CK18" s="85" t="str">
        <f t="shared" si="15"/>
        <v>N/A</v>
      </c>
      <c r="CL18" s="85"/>
      <c r="CM18" s="85" t="str">
        <f t="shared" si="16"/>
        <v>N/A</v>
      </c>
      <c r="CN18" s="85"/>
      <c r="CO18" s="85" t="str">
        <f t="shared" si="17"/>
        <v>N/A</v>
      </c>
      <c r="CP18" s="85"/>
      <c r="CQ18" s="85" t="str">
        <f t="shared" si="18"/>
        <v>N/A</v>
      </c>
      <c r="CR18" s="85"/>
      <c r="CS18" s="85" t="str">
        <f t="shared" si="19"/>
        <v>N/A</v>
      </c>
      <c r="CT18" s="85"/>
      <c r="CU18" s="85" t="str">
        <f t="shared" si="20"/>
        <v>N/A</v>
      </c>
      <c r="CV18" s="85"/>
      <c r="CW18" s="85" t="str">
        <f t="shared" si="21"/>
        <v>N/A</v>
      </c>
      <c r="CX18" s="85"/>
      <c r="CY18" s="85" t="str">
        <f t="shared" si="22"/>
        <v>N/A</v>
      </c>
      <c r="CZ18" s="85"/>
      <c r="DA18" s="85" t="str">
        <f>IF(OR(ISBLANK(AX18),ISBLANK(AZ18)),"N/A",IF(ABS((AZ18-AX18)/AX18)&gt;0.25,"&gt; 25%","ok"))</f>
        <v>N/A</v>
      </c>
      <c r="DB18" s="85"/>
    </row>
    <row r="19" spans="2:106" ht="18" customHeight="1">
      <c r="B19" s="235">
        <v>48</v>
      </c>
      <c r="C19" s="257">
        <v>11</v>
      </c>
      <c r="D19" s="466" t="s">
        <v>312</v>
      </c>
      <c r="E19" s="260" t="s">
        <v>304</v>
      </c>
      <c r="F19" s="587"/>
      <c r="G19" s="597"/>
      <c r="H19" s="587"/>
      <c r="I19" s="597"/>
      <c r="J19" s="587"/>
      <c r="K19" s="597"/>
      <c r="L19" s="587"/>
      <c r="M19" s="597"/>
      <c r="N19" s="587"/>
      <c r="O19" s="597"/>
      <c r="P19" s="587"/>
      <c r="Q19" s="597"/>
      <c r="R19" s="587"/>
      <c r="S19" s="597"/>
      <c r="T19" s="587"/>
      <c r="U19" s="597"/>
      <c r="V19" s="587"/>
      <c r="W19" s="597"/>
      <c r="X19" s="587"/>
      <c r="Y19" s="597"/>
      <c r="Z19" s="587"/>
      <c r="AA19" s="597"/>
      <c r="AB19" s="587"/>
      <c r="AC19" s="597"/>
      <c r="AD19" s="587"/>
      <c r="AE19" s="597"/>
      <c r="AF19" s="587"/>
      <c r="AG19" s="597"/>
      <c r="AH19" s="587"/>
      <c r="AI19" s="597"/>
      <c r="AJ19" s="587"/>
      <c r="AK19" s="597"/>
      <c r="AL19" s="587"/>
      <c r="AM19" s="597"/>
      <c r="AN19" s="587"/>
      <c r="AO19" s="597"/>
      <c r="AP19" s="587"/>
      <c r="AQ19" s="597"/>
      <c r="AR19" s="587"/>
      <c r="AS19" s="597"/>
      <c r="AT19" s="587"/>
      <c r="AU19" s="597"/>
      <c r="AV19" s="587"/>
      <c r="AW19" s="597"/>
      <c r="AX19" s="587"/>
      <c r="AY19" s="597"/>
      <c r="AZ19" s="587"/>
      <c r="BA19" s="597"/>
      <c r="BD19" s="608">
        <v>11</v>
      </c>
      <c r="BE19" s="696" t="s">
        <v>5</v>
      </c>
      <c r="BF19" s="608" t="s">
        <v>665</v>
      </c>
      <c r="BG19" s="261" t="s">
        <v>448</v>
      </c>
      <c r="BH19" s="262"/>
      <c r="BI19" s="82" t="str">
        <f t="shared" si="1"/>
        <v>N/A</v>
      </c>
      <c r="BJ19" s="262"/>
      <c r="BK19" s="85" t="str">
        <f t="shared" si="2"/>
        <v>N/A</v>
      </c>
      <c r="BL19" s="85"/>
      <c r="BM19" s="85" t="str">
        <f t="shared" si="3"/>
        <v>N/A</v>
      </c>
      <c r="BN19" s="85"/>
      <c r="BO19" s="85" t="str">
        <f t="shared" si="4"/>
        <v>N/A</v>
      </c>
      <c r="BP19" s="85"/>
      <c r="BQ19" s="85" t="str">
        <f t="shared" si="5"/>
        <v>N/A</v>
      </c>
      <c r="BR19" s="85"/>
      <c r="BS19" s="85" t="str">
        <f t="shared" si="6"/>
        <v>N/A</v>
      </c>
      <c r="BT19" s="85"/>
      <c r="BU19" s="85" t="str">
        <f t="shared" si="7"/>
        <v>N/A</v>
      </c>
      <c r="BV19" s="85"/>
      <c r="BW19" s="85" t="str">
        <f t="shared" si="8"/>
        <v>N/A</v>
      </c>
      <c r="BX19" s="85"/>
      <c r="BY19" s="85" t="str">
        <f t="shared" si="9"/>
        <v>N/A</v>
      </c>
      <c r="BZ19" s="85"/>
      <c r="CA19" s="85" t="str">
        <f t="shared" si="10"/>
        <v>N/A</v>
      </c>
      <c r="CB19" s="85"/>
      <c r="CC19" s="85" t="str">
        <f t="shared" si="11"/>
        <v>N/A</v>
      </c>
      <c r="CD19" s="85"/>
      <c r="CE19" s="85" t="str">
        <f t="shared" si="12"/>
        <v>N/A</v>
      </c>
      <c r="CF19" s="85"/>
      <c r="CG19" s="85" t="str">
        <f t="shared" si="13"/>
        <v>N/A</v>
      </c>
      <c r="CH19" s="85"/>
      <c r="CI19" s="85" t="str">
        <f t="shared" si="14"/>
        <v>N/A</v>
      </c>
      <c r="CJ19" s="85"/>
      <c r="CK19" s="85" t="str">
        <f t="shared" si="15"/>
        <v>N/A</v>
      </c>
      <c r="CL19" s="85"/>
      <c r="CM19" s="85" t="str">
        <f t="shared" si="16"/>
        <v>N/A</v>
      </c>
      <c r="CN19" s="85"/>
      <c r="CO19" s="85" t="str">
        <f t="shared" si="17"/>
        <v>N/A</v>
      </c>
      <c r="CP19" s="85"/>
      <c r="CQ19" s="85" t="str">
        <f t="shared" si="18"/>
        <v>N/A</v>
      </c>
      <c r="CR19" s="85"/>
      <c r="CS19" s="85" t="str">
        <f t="shared" si="19"/>
        <v>N/A</v>
      </c>
      <c r="CT19" s="85"/>
      <c r="CU19" s="85" t="str">
        <f t="shared" si="20"/>
        <v>N/A</v>
      </c>
      <c r="CV19" s="85"/>
      <c r="CW19" s="85" t="str">
        <f t="shared" si="21"/>
        <v>N/A</v>
      </c>
      <c r="CX19" s="85"/>
      <c r="CY19" s="85" t="str">
        <f t="shared" si="22"/>
        <v>N/A</v>
      </c>
      <c r="CZ19" s="85"/>
      <c r="DA19" s="85" t="str">
        <f t="shared" si="0"/>
        <v>N/A</v>
      </c>
      <c r="DB19" s="85"/>
    </row>
    <row r="20" spans="2:106" ht="25.5" customHeight="1">
      <c r="B20" s="180">
        <v>5009</v>
      </c>
      <c r="C20" s="261"/>
      <c r="D20" s="467" t="s">
        <v>348</v>
      </c>
      <c r="E20" s="261"/>
      <c r="F20" s="609"/>
      <c r="G20" s="610"/>
      <c r="H20" s="609"/>
      <c r="I20" s="610"/>
      <c r="J20" s="609"/>
      <c r="K20" s="610"/>
      <c r="L20" s="609"/>
      <c r="M20" s="610"/>
      <c r="N20" s="610"/>
      <c r="O20" s="610"/>
      <c r="P20" s="609"/>
      <c r="Q20" s="610"/>
      <c r="R20" s="609"/>
      <c r="S20" s="610"/>
      <c r="T20" s="609"/>
      <c r="U20" s="610"/>
      <c r="V20" s="609"/>
      <c r="W20" s="610"/>
      <c r="X20" s="609"/>
      <c r="Y20" s="610"/>
      <c r="Z20" s="609"/>
      <c r="AA20" s="610"/>
      <c r="AB20" s="609"/>
      <c r="AC20" s="610"/>
      <c r="AD20" s="609"/>
      <c r="AE20" s="610"/>
      <c r="AF20" s="609"/>
      <c r="AG20" s="610"/>
      <c r="AH20" s="609"/>
      <c r="AI20" s="610"/>
      <c r="AJ20" s="609"/>
      <c r="AK20" s="610"/>
      <c r="AL20" s="609"/>
      <c r="AM20" s="610"/>
      <c r="AN20" s="609"/>
      <c r="AO20" s="610"/>
      <c r="AP20" s="609"/>
      <c r="AQ20" s="610"/>
      <c r="AR20" s="609"/>
      <c r="AS20" s="610"/>
      <c r="AT20" s="609"/>
      <c r="AU20" s="610"/>
      <c r="AV20" s="609"/>
      <c r="AW20" s="610"/>
      <c r="AX20" s="609"/>
      <c r="AY20" s="610"/>
      <c r="AZ20" s="609"/>
      <c r="BA20" s="610"/>
      <c r="BD20" s="697"/>
      <c r="BE20" s="698" t="s">
        <v>382</v>
      </c>
      <c r="BF20" s="697"/>
      <c r="BG20" s="261" t="s">
        <v>448</v>
      </c>
      <c r="BH20" s="262"/>
      <c r="BI20" s="82"/>
      <c r="BJ20" s="262"/>
      <c r="BK20" s="468"/>
      <c r="BL20" s="262"/>
      <c r="BM20" s="468"/>
      <c r="BN20" s="262"/>
      <c r="BO20" s="468"/>
      <c r="BP20" s="262"/>
      <c r="BQ20" s="468"/>
      <c r="BR20" s="262"/>
      <c r="BS20" s="468"/>
      <c r="BT20" s="262"/>
      <c r="BU20" s="468"/>
      <c r="BV20" s="262"/>
      <c r="BW20" s="261"/>
      <c r="BX20" s="262"/>
      <c r="BY20" s="261"/>
      <c r="BZ20" s="262"/>
      <c r="CA20" s="261"/>
      <c r="CB20" s="262"/>
      <c r="CC20" s="261"/>
      <c r="CD20" s="262"/>
      <c r="CE20" s="261"/>
      <c r="CF20" s="262"/>
      <c r="CG20" s="261"/>
      <c r="CH20" s="262"/>
      <c r="CI20" s="468"/>
      <c r="CJ20" s="262"/>
      <c r="CK20" s="261"/>
      <c r="CL20" s="262"/>
      <c r="CM20" s="261"/>
      <c r="CN20" s="262"/>
      <c r="CO20" s="261"/>
      <c r="CP20" s="262"/>
      <c r="CQ20" s="85"/>
      <c r="CR20" s="262"/>
      <c r="CS20" s="261"/>
      <c r="CT20" s="262"/>
      <c r="CU20" s="261"/>
      <c r="CV20" s="262"/>
      <c r="CW20" s="261"/>
      <c r="CX20" s="262"/>
      <c r="CY20" s="261"/>
      <c r="CZ20" s="262"/>
      <c r="DA20" s="85"/>
      <c r="DB20" s="262"/>
    </row>
    <row r="21" spans="1:106" s="469" customFormat="1" ht="42" customHeight="1">
      <c r="A21" s="399"/>
      <c r="B21" s="235">
        <v>277</v>
      </c>
      <c r="C21" s="396">
        <v>12</v>
      </c>
      <c r="D21" s="256" t="s">
        <v>271</v>
      </c>
      <c r="E21" s="246" t="s">
        <v>541</v>
      </c>
      <c r="F21" s="578"/>
      <c r="G21" s="592"/>
      <c r="H21" s="578"/>
      <c r="I21" s="592"/>
      <c r="J21" s="578"/>
      <c r="K21" s="592"/>
      <c r="L21" s="578"/>
      <c r="M21" s="592"/>
      <c r="N21" s="592"/>
      <c r="O21" s="592"/>
      <c r="P21" s="578"/>
      <c r="Q21" s="592"/>
      <c r="R21" s="578"/>
      <c r="S21" s="592"/>
      <c r="T21" s="578"/>
      <c r="U21" s="592"/>
      <c r="V21" s="578"/>
      <c r="W21" s="592"/>
      <c r="X21" s="578"/>
      <c r="Y21" s="592"/>
      <c r="Z21" s="578"/>
      <c r="AA21" s="592"/>
      <c r="AB21" s="578"/>
      <c r="AC21" s="592"/>
      <c r="AD21" s="578"/>
      <c r="AE21" s="592"/>
      <c r="AF21" s="578"/>
      <c r="AG21" s="592"/>
      <c r="AH21" s="578"/>
      <c r="AI21" s="592"/>
      <c r="AJ21" s="578"/>
      <c r="AK21" s="592"/>
      <c r="AL21" s="578"/>
      <c r="AM21" s="592"/>
      <c r="AN21" s="578"/>
      <c r="AO21" s="592"/>
      <c r="AP21" s="578"/>
      <c r="AQ21" s="592"/>
      <c r="AR21" s="578"/>
      <c r="AS21" s="592"/>
      <c r="AT21" s="578"/>
      <c r="AU21" s="592"/>
      <c r="AV21" s="578"/>
      <c r="AW21" s="592"/>
      <c r="AX21" s="578"/>
      <c r="AY21" s="592"/>
      <c r="AZ21" s="578"/>
      <c r="BA21" s="592"/>
      <c r="BC21" s="398"/>
      <c r="BD21" s="658">
        <v>12</v>
      </c>
      <c r="BE21" s="689" t="s">
        <v>400</v>
      </c>
      <c r="BF21" s="608" t="s">
        <v>541</v>
      </c>
      <c r="BG21" s="84" t="s">
        <v>448</v>
      </c>
      <c r="BH21" s="249"/>
      <c r="BI21" s="85" t="str">
        <f>IF(OR(ISBLANK(F21),ISBLANK(H21)),"N/A",IF(ABS(H21-F21)&gt;25,"&gt; 25%","ok"))</f>
        <v>N/A</v>
      </c>
      <c r="BJ21" s="249"/>
      <c r="BK21" s="85" t="str">
        <f>IF(OR(ISBLANK(H21),ISBLANK(J21)),"N/A",IF(ABS(J21-H21)&gt;25,"&gt; 25%","ok"))</f>
        <v>N/A</v>
      </c>
      <c r="BL21" s="85"/>
      <c r="BM21" s="85" t="str">
        <f>IF(OR(ISBLANK(J21),ISBLANK(L21)),"N/A",IF(ABS(L21-J21)&gt;25,"&gt; 25%","ok"))</f>
        <v>N/A</v>
      </c>
      <c r="BN21" s="85"/>
      <c r="BO21" s="85" t="str">
        <f>IF(OR(ISBLANK(L21),ISBLANK(N21)),"N/A",IF(ABS(N21-L21)&gt;25,"&gt; 25%","ok"))</f>
        <v>N/A</v>
      </c>
      <c r="BP21" s="85"/>
      <c r="BQ21" s="85" t="str">
        <f>IF(OR(ISBLANK(N21),ISBLANK(P21)),"N/A",IF(ABS(P21-N21)&gt;25,"&gt; 25%","ok"))</f>
        <v>N/A</v>
      </c>
      <c r="BR21" s="85"/>
      <c r="BS21" s="85" t="str">
        <f>IF(OR(ISBLANK(P21),ISBLANK(R21)),"N/A",IF(ABS(R21-P21)&gt;25,"&gt; 25%","ok"))</f>
        <v>N/A</v>
      </c>
      <c r="BT21" s="85"/>
      <c r="BU21" s="85" t="str">
        <f>IF(OR(ISBLANK(R21),ISBLANK(T21)),"N/A",IF(ABS(T21-R21)&gt;25,"&gt; 25%","ok"))</f>
        <v>N/A</v>
      </c>
      <c r="BV21" s="85"/>
      <c r="BW21" s="85" t="str">
        <f>IF(OR(ISBLANK(T21),ISBLANK(V21)),"N/A",IF(ABS(V21-T21)&gt;25,"&gt; 25%","ok"))</f>
        <v>N/A</v>
      </c>
      <c r="BX21" s="85"/>
      <c r="BY21" s="85" t="str">
        <f>IF(OR(ISBLANK(V21),ISBLANK(X21)),"N/A",IF(ABS(X21-V21)&gt;25,"&gt; 25%","ok"))</f>
        <v>N/A</v>
      </c>
      <c r="BZ21" s="85"/>
      <c r="CA21" s="85" t="str">
        <f>IF(OR(ISBLANK(X21),ISBLANK(Z21)),"N/A",IF(ABS(Z21-X21)&gt;25,"&gt; 25%","ok"))</f>
        <v>N/A</v>
      </c>
      <c r="CB21" s="85"/>
      <c r="CC21" s="85" t="str">
        <f>IF(OR(ISBLANK(Z21),ISBLANK(AB21)),"N/A",IF(ABS(AB21-Z21)&gt;25,"&gt; 25%","ok"))</f>
        <v>N/A</v>
      </c>
      <c r="CD21" s="85"/>
      <c r="CE21" s="85" t="str">
        <f>IF(OR(ISBLANK(AB21),ISBLANK(AD21)),"N/A",IF(ABS(AD21-AB21)&gt;25,"&gt; 25%","ok"))</f>
        <v>N/A</v>
      </c>
      <c r="CF21" s="85"/>
      <c r="CG21" s="85" t="str">
        <f>IF(OR(ISBLANK(AD21),ISBLANK(AF21)),"N/A",IF(ABS(AF21-AD21)&gt;25,"&gt; 25%","ok"))</f>
        <v>N/A</v>
      </c>
      <c r="CH21" s="85"/>
      <c r="CI21" s="85" t="str">
        <f>IF(OR(ISBLANK(AF21),ISBLANK(AH21)),"N/A",IF(ABS(AH21-AF21)&gt;25,"&gt; 25%","ok"))</f>
        <v>N/A</v>
      </c>
      <c r="CJ21" s="85"/>
      <c r="CK21" s="85" t="str">
        <f>IF(OR(ISBLANK(AH21),ISBLANK(AJ21)),"N/A",IF(ABS(AJ21-AH21)&gt;25,"&gt; 25%","ok"))</f>
        <v>N/A</v>
      </c>
      <c r="CL21" s="85"/>
      <c r="CM21" s="85" t="str">
        <f>IF(OR(ISBLANK(AJ21),ISBLANK(AL21)),"N/A",IF(ABS(AL21-AJ21)&gt;25,"&gt; 25%","ok"))</f>
        <v>N/A</v>
      </c>
      <c r="CN21" s="85"/>
      <c r="CO21" s="85" t="str">
        <f>IF(OR(ISBLANK(AL21),ISBLANK(AN21)),"N/A",IF(ABS(AN21-AL21)&gt;25,"&gt; 25%","ok"))</f>
        <v>N/A</v>
      </c>
      <c r="CP21" s="85"/>
      <c r="CQ21" s="85" t="str">
        <f>IF(OR(ISBLANK(AN21),ISBLANK(AP21)),"N/A",IF(ABS((AP21-AN21)/AN21)&gt;0.25,"&gt; 25%","ok"))</f>
        <v>N/A</v>
      </c>
      <c r="CR21" s="249"/>
      <c r="CS21" s="85" t="str">
        <f>IF(OR(ISBLANK(AP21),ISBLANK(AR21)),"N/A",IF(ABS(AR21-AP21)&gt;25,"&gt; 25%","ok"))</f>
        <v>N/A</v>
      </c>
      <c r="CT21" s="85"/>
      <c r="CU21" s="85" t="str">
        <f>IF(OR(ISBLANK(AR21),ISBLANK(AT21)),"N/A",IF(ABS(AT21-AR21)&gt;25,"&gt; 25%","ok"))</f>
        <v>N/A</v>
      </c>
      <c r="CV21" s="85"/>
      <c r="CW21" s="85" t="str">
        <f>IF(OR(ISBLANK(AT21),ISBLANK(AV21)),"N/A",IF(ABS(AV21-AT21)&gt;25,"&gt; 25%","ok"))</f>
        <v>N/A</v>
      </c>
      <c r="CX21" s="85"/>
      <c r="CY21" s="85" t="str">
        <f>IF(OR(ISBLANK(AV21),ISBLANK(AX21)),"N/A",IF(ABS(AX21-AV21)&gt;25,"&gt; 25%","ok"))</f>
        <v>N/A</v>
      </c>
      <c r="CZ21" s="85"/>
      <c r="DA21" s="85" t="str">
        <f t="shared" si="0"/>
        <v>N/A</v>
      </c>
      <c r="DB21" s="249"/>
    </row>
    <row r="22" spans="1:106" s="469" customFormat="1" ht="25.5" customHeight="1">
      <c r="A22" s="399"/>
      <c r="B22" s="235">
        <v>261</v>
      </c>
      <c r="C22" s="257">
        <v>13</v>
      </c>
      <c r="D22" s="254" t="s">
        <v>273</v>
      </c>
      <c r="E22" s="246" t="s">
        <v>541</v>
      </c>
      <c r="F22" s="578"/>
      <c r="G22" s="592"/>
      <c r="H22" s="578"/>
      <c r="I22" s="592"/>
      <c r="J22" s="578"/>
      <c r="K22" s="592"/>
      <c r="L22" s="578"/>
      <c r="M22" s="592"/>
      <c r="N22" s="592"/>
      <c r="O22" s="592"/>
      <c r="P22" s="578"/>
      <c r="Q22" s="592"/>
      <c r="R22" s="578"/>
      <c r="S22" s="592"/>
      <c r="T22" s="578"/>
      <c r="U22" s="592"/>
      <c r="V22" s="578"/>
      <c r="W22" s="592"/>
      <c r="X22" s="578"/>
      <c r="Y22" s="592"/>
      <c r="Z22" s="578"/>
      <c r="AA22" s="592"/>
      <c r="AB22" s="578"/>
      <c r="AC22" s="592"/>
      <c r="AD22" s="578"/>
      <c r="AE22" s="592"/>
      <c r="AF22" s="578"/>
      <c r="AG22" s="592"/>
      <c r="AH22" s="578"/>
      <c r="AI22" s="592"/>
      <c r="AJ22" s="578"/>
      <c r="AK22" s="592"/>
      <c r="AL22" s="578"/>
      <c r="AM22" s="592"/>
      <c r="AN22" s="578"/>
      <c r="AO22" s="592"/>
      <c r="AP22" s="578"/>
      <c r="AQ22" s="592"/>
      <c r="AR22" s="578"/>
      <c r="AS22" s="592"/>
      <c r="AT22" s="578"/>
      <c r="AU22" s="592"/>
      <c r="AV22" s="578"/>
      <c r="AW22" s="592"/>
      <c r="AX22" s="578"/>
      <c r="AY22" s="592"/>
      <c r="AZ22" s="578"/>
      <c r="BA22" s="592"/>
      <c r="BC22" s="398"/>
      <c r="BD22" s="608">
        <v>13</v>
      </c>
      <c r="BE22" s="690" t="s">
        <v>384</v>
      </c>
      <c r="BF22" s="608" t="s">
        <v>541</v>
      </c>
      <c r="BG22" s="84" t="s">
        <v>448</v>
      </c>
      <c r="BH22" s="249"/>
      <c r="BI22" s="85" t="str">
        <f>IF(OR(ISBLANK(F22),ISBLANK(H22)),"N/A",IF(ABS(H22-F22)&gt;25,"&gt; 25%","ok"))</f>
        <v>N/A</v>
      </c>
      <c r="BJ22" s="249"/>
      <c r="BK22" s="85" t="str">
        <f>IF(OR(ISBLANK(H22),ISBLANK(J22)),"N/A",IF(ABS(J22-H22)&gt;25,"&gt; 25%","ok"))</f>
        <v>N/A</v>
      </c>
      <c r="BL22" s="85"/>
      <c r="BM22" s="85" t="str">
        <f>IF(OR(ISBLANK(J22),ISBLANK(L22)),"N/A",IF(ABS(L22-J22)&gt;25,"&gt; 25%","ok"))</f>
        <v>N/A</v>
      </c>
      <c r="BN22" s="85"/>
      <c r="BO22" s="85" t="str">
        <f>IF(OR(ISBLANK(L22),ISBLANK(N22)),"N/A",IF(ABS(N22-L22)&gt;25,"&gt; 25%","ok"))</f>
        <v>N/A</v>
      </c>
      <c r="BP22" s="85"/>
      <c r="BQ22" s="85" t="str">
        <f>IF(OR(ISBLANK(N22),ISBLANK(P22)),"N/A",IF(ABS(P22-N22)&gt;25,"&gt; 25%","ok"))</f>
        <v>N/A</v>
      </c>
      <c r="BR22" s="85"/>
      <c r="BS22" s="85" t="str">
        <f>IF(OR(ISBLANK(P22),ISBLANK(R22)),"N/A",IF(ABS(R22-P22)&gt;25,"&gt; 25%","ok"))</f>
        <v>N/A</v>
      </c>
      <c r="BT22" s="85"/>
      <c r="BU22" s="85" t="str">
        <f>IF(OR(ISBLANK(R22),ISBLANK(T22)),"N/A",IF(ABS(T22-R22)&gt;25,"&gt; 25%","ok"))</f>
        <v>N/A</v>
      </c>
      <c r="BV22" s="85"/>
      <c r="BW22" s="85" t="str">
        <f>IF(OR(ISBLANK(T22),ISBLANK(V22)),"N/A",IF(ABS(V22-T22)&gt;25,"&gt; 25%","ok"))</f>
        <v>N/A</v>
      </c>
      <c r="BX22" s="85"/>
      <c r="BY22" s="85" t="str">
        <f>IF(OR(ISBLANK(V22),ISBLANK(X22)),"N/A",IF(ABS(X22-V22)&gt;25,"&gt; 25%","ok"))</f>
        <v>N/A</v>
      </c>
      <c r="BZ22" s="85"/>
      <c r="CA22" s="85" t="str">
        <f>IF(OR(ISBLANK(X22),ISBLANK(Z22)),"N/A",IF(ABS(Z22-X22)&gt;25,"&gt; 25%","ok"))</f>
        <v>N/A</v>
      </c>
      <c r="CB22" s="85"/>
      <c r="CC22" s="85" t="str">
        <f>IF(OR(ISBLANK(Z22),ISBLANK(AB22)),"N/A",IF(ABS(AB22-Z22)&gt;25,"&gt; 25%","ok"))</f>
        <v>N/A</v>
      </c>
      <c r="CD22" s="85"/>
      <c r="CE22" s="85" t="str">
        <f>IF(OR(ISBLANK(AB22),ISBLANK(AD22)),"N/A",IF(ABS(AD22-AB22)&gt;25,"&gt; 25%","ok"))</f>
        <v>N/A</v>
      </c>
      <c r="CF22" s="85"/>
      <c r="CG22" s="85" t="str">
        <f>IF(OR(ISBLANK(AD22),ISBLANK(AF22)),"N/A",IF(ABS(AF22-AD22)&gt;25,"&gt; 25%","ok"))</f>
        <v>N/A</v>
      </c>
      <c r="CH22" s="85"/>
      <c r="CI22" s="85" t="str">
        <f>IF(OR(ISBLANK(AF22),ISBLANK(AH22)),"N/A",IF(ABS(AH22-AF22)&gt;25,"&gt; 25%","ok"))</f>
        <v>N/A</v>
      </c>
      <c r="CJ22" s="85"/>
      <c r="CK22" s="85" t="str">
        <f>IF(OR(ISBLANK(AH22),ISBLANK(AJ22)),"N/A",IF(ABS(AJ22-AH22)&gt;25,"&gt; 25%","ok"))</f>
        <v>N/A</v>
      </c>
      <c r="CL22" s="85"/>
      <c r="CM22" s="85" t="str">
        <f>IF(OR(ISBLANK(AJ22),ISBLANK(AL22)),"N/A",IF(ABS(AL22-AJ22)&gt;25,"&gt; 25%","ok"))</f>
        <v>N/A</v>
      </c>
      <c r="CN22" s="85"/>
      <c r="CO22" s="85" t="str">
        <f>IF(OR(ISBLANK(AL22),ISBLANK(AN22)),"N/A",IF(ABS(AN22-AL22)&gt;25,"&gt; 25%","ok"))</f>
        <v>N/A</v>
      </c>
      <c r="CP22" s="85"/>
      <c r="CQ22" s="85" t="str">
        <f>IF(OR(ISBLANK(AN22),ISBLANK(AP22)),"N/A",IF(ABS((AP22-AN22)/AN22)&gt;0.25,"&gt; 25%","ok"))</f>
        <v>N/A</v>
      </c>
      <c r="CR22" s="249"/>
      <c r="CS22" s="85" t="str">
        <f>IF(OR(ISBLANK(AP22),ISBLANK(AR22)),"N/A",IF(ABS(AR22-AP22)&gt;25,"&gt; 25%","ok"))</f>
        <v>N/A</v>
      </c>
      <c r="CT22" s="85"/>
      <c r="CU22" s="85" t="str">
        <f>IF(OR(ISBLANK(AR22),ISBLANK(AT22)),"N/A",IF(ABS(AT22-AR22)&gt;25,"&gt; 25%","ok"))</f>
        <v>N/A</v>
      </c>
      <c r="CV22" s="85"/>
      <c r="CW22" s="85" t="str">
        <f>IF(OR(ISBLANK(AT22),ISBLANK(AV22)),"N/A",IF(ABS(AV22-AT22)&gt;25,"&gt; 25%","ok"))</f>
        <v>N/A</v>
      </c>
      <c r="CX22" s="85"/>
      <c r="CY22" s="85" t="str">
        <f>IF(OR(ISBLANK(AV22),ISBLANK(AX22)),"N/A",IF(ABS(AX22-AV22)&gt;25,"&gt; 25%","ok"))</f>
        <v>N/A</v>
      </c>
      <c r="CZ22" s="85"/>
      <c r="DA22" s="85" t="str">
        <f t="shared" si="0"/>
        <v>N/A</v>
      </c>
      <c r="DB22" s="249"/>
    </row>
    <row r="23" spans="1:106" s="469" customFormat="1" ht="25.5" customHeight="1">
      <c r="A23" s="399"/>
      <c r="B23" s="235">
        <v>262</v>
      </c>
      <c r="C23" s="403">
        <v>14</v>
      </c>
      <c r="D23" s="271" t="s">
        <v>505</v>
      </c>
      <c r="E23" s="269" t="s">
        <v>541</v>
      </c>
      <c r="F23" s="579"/>
      <c r="G23" s="598"/>
      <c r="H23" s="579"/>
      <c r="I23" s="598"/>
      <c r="J23" s="579"/>
      <c r="K23" s="598"/>
      <c r="L23" s="579"/>
      <c r="M23" s="598"/>
      <c r="N23" s="598"/>
      <c r="O23" s="598"/>
      <c r="P23" s="579"/>
      <c r="Q23" s="598"/>
      <c r="R23" s="579"/>
      <c r="S23" s="598"/>
      <c r="T23" s="579"/>
      <c r="U23" s="598"/>
      <c r="V23" s="579"/>
      <c r="W23" s="598"/>
      <c r="X23" s="579"/>
      <c r="Y23" s="598"/>
      <c r="Z23" s="579"/>
      <c r="AA23" s="598"/>
      <c r="AB23" s="579"/>
      <c r="AC23" s="598"/>
      <c r="AD23" s="579"/>
      <c r="AE23" s="598"/>
      <c r="AF23" s="579"/>
      <c r="AG23" s="598"/>
      <c r="AH23" s="579"/>
      <c r="AI23" s="598"/>
      <c r="AJ23" s="579"/>
      <c r="AK23" s="598"/>
      <c r="AL23" s="579"/>
      <c r="AM23" s="598"/>
      <c r="AN23" s="579"/>
      <c r="AO23" s="598"/>
      <c r="AP23" s="579"/>
      <c r="AQ23" s="598"/>
      <c r="AR23" s="579"/>
      <c r="AS23" s="598"/>
      <c r="AT23" s="579"/>
      <c r="AU23" s="598"/>
      <c r="AV23" s="579"/>
      <c r="AW23" s="598"/>
      <c r="AX23" s="579"/>
      <c r="AY23" s="598"/>
      <c r="AZ23" s="579"/>
      <c r="BA23" s="598"/>
      <c r="BC23" s="398"/>
      <c r="BD23" s="699">
        <v>14</v>
      </c>
      <c r="BE23" s="700" t="s">
        <v>385</v>
      </c>
      <c r="BF23" s="699" t="s">
        <v>541</v>
      </c>
      <c r="BG23" s="98" t="s">
        <v>448</v>
      </c>
      <c r="BH23" s="276"/>
      <c r="BI23" s="83" t="str">
        <f>IF(OR(ISBLANK(F23),ISBLANK(H23)),"N/A",IF(ABS(H23-F23)&gt;25,"&gt; 25%","ok"))</f>
        <v>N/A</v>
      </c>
      <c r="BJ23" s="276"/>
      <c r="BK23" s="83" t="str">
        <f>IF(OR(ISBLANK(H23),ISBLANK(J23)),"N/A",IF(ABS(J23-H23)&gt;25,"&gt; 25%","ok"))</f>
        <v>N/A</v>
      </c>
      <c r="BL23" s="83"/>
      <c r="BM23" s="83" t="str">
        <f>IF(OR(ISBLANK(J23),ISBLANK(L23)),"N/A",IF(ABS(L23-J23)&gt;25,"&gt; 25%","ok"))</f>
        <v>N/A</v>
      </c>
      <c r="BN23" s="83"/>
      <c r="BO23" s="83" t="str">
        <f>IF(OR(ISBLANK(L23),ISBLANK(N23)),"N/A",IF(ABS(N23-L23)&gt;25,"&gt; 25%","ok"))</f>
        <v>N/A</v>
      </c>
      <c r="BP23" s="83"/>
      <c r="BQ23" s="83" t="str">
        <f>IF(OR(ISBLANK(N23),ISBLANK(P23)),"N/A",IF(ABS(P23-N23)&gt;25,"&gt; 25%","ok"))</f>
        <v>N/A</v>
      </c>
      <c r="BR23" s="83"/>
      <c r="BS23" s="83" t="str">
        <f>IF(OR(ISBLANK(P23),ISBLANK(R23)),"N/A",IF(ABS(R23-P23)&gt;25,"&gt; 25%","ok"))</f>
        <v>N/A</v>
      </c>
      <c r="BT23" s="83"/>
      <c r="BU23" s="83" t="str">
        <f>IF(OR(ISBLANK(R23),ISBLANK(T23)),"N/A",IF(ABS(T23-R23)&gt;25,"&gt; 25%","ok"))</f>
        <v>N/A</v>
      </c>
      <c r="BV23" s="83"/>
      <c r="BW23" s="83" t="str">
        <f>IF(OR(ISBLANK(T23),ISBLANK(V23)),"N/A",IF(ABS(V23-T23)&gt;25,"&gt; 25%","ok"))</f>
        <v>N/A</v>
      </c>
      <c r="BX23" s="83"/>
      <c r="BY23" s="83" t="str">
        <f>IF(OR(ISBLANK(V23),ISBLANK(X23)),"N/A",IF(ABS(X23-V23)&gt;25,"&gt; 25%","ok"))</f>
        <v>N/A</v>
      </c>
      <c r="BZ23" s="83"/>
      <c r="CA23" s="83" t="str">
        <f>IF(OR(ISBLANK(X23),ISBLANK(Z23)),"N/A",IF(ABS(Z23-X23)&gt;25,"&gt; 25%","ok"))</f>
        <v>N/A</v>
      </c>
      <c r="CB23" s="83"/>
      <c r="CC23" s="83" t="str">
        <f>IF(OR(ISBLANK(Z23),ISBLANK(AB23)),"N/A",IF(ABS(AB23-Z23)&gt;25,"&gt; 25%","ok"))</f>
        <v>N/A</v>
      </c>
      <c r="CD23" s="83"/>
      <c r="CE23" s="83" t="str">
        <f>IF(OR(ISBLANK(AB23),ISBLANK(AD23)),"N/A",IF(ABS(AD23-AB23)&gt;25,"&gt; 25%","ok"))</f>
        <v>N/A</v>
      </c>
      <c r="CF23" s="83"/>
      <c r="CG23" s="83" t="str">
        <f>IF(OR(ISBLANK(AD23),ISBLANK(AF23)),"N/A",IF(ABS(AF23-AD23)&gt;25,"&gt; 25%","ok"))</f>
        <v>N/A</v>
      </c>
      <c r="CH23" s="83"/>
      <c r="CI23" s="83" t="str">
        <f>IF(OR(ISBLANK(AF23),ISBLANK(AH23)),"N/A",IF(ABS(AH23-AF23)&gt;25,"&gt; 25%","ok"))</f>
        <v>N/A</v>
      </c>
      <c r="CJ23" s="83"/>
      <c r="CK23" s="83" t="str">
        <f>IF(OR(ISBLANK(AH23),ISBLANK(AJ23)),"N/A",IF(ABS(AJ23-AH23)&gt;25,"&gt; 25%","ok"))</f>
        <v>N/A</v>
      </c>
      <c r="CL23" s="83"/>
      <c r="CM23" s="83" t="str">
        <f>IF(OR(ISBLANK(AJ23),ISBLANK(AL23)),"N/A",IF(ABS(AL23-AJ23)&gt;25,"&gt; 25%","ok"))</f>
        <v>N/A</v>
      </c>
      <c r="CN23" s="83"/>
      <c r="CO23" s="83" t="str">
        <f>IF(OR(ISBLANK(AL23),ISBLANK(AN23)),"N/A",IF(ABS(AN23-AL23)&gt;25,"&gt; 25%","ok"))</f>
        <v>N/A</v>
      </c>
      <c r="CP23" s="83"/>
      <c r="CQ23" s="83" t="str">
        <f>IF(OR(ISBLANK(AN23),ISBLANK(AP23)),"N/A",IF(ABS((AP23-AN23)/AN23)&gt;0.25,"&gt; 25%","ok"))</f>
        <v>N/A</v>
      </c>
      <c r="CR23" s="276"/>
      <c r="CS23" s="83" t="str">
        <f>IF(OR(ISBLANK(AP23),ISBLANK(AR23)),"N/A",IF(ABS(AR23-AP23)&gt;25,"&gt; 25%","ok"))</f>
        <v>N/A</v>
      </c>
      <c r="CT23" s="83"/>
      <c r="CU23" s="83" t="str">
        <f>IF(OR(ISBLANK(AR23),ISBLANK(AT23)),"N/A",IF(ABS(AT23-AR23)&gt;25,"&gt; 25%","ok"))</f>
        <v>N/A</v>
      </c>
      <c r="CV23" s="83"/>
      <c r="CW23" s="83" t="str">
        <f>IF(OR(ISBLANK(AT23),ISBLANK(AV23)),"N/A",IF(ABS(AV23-AT23)&gt;25,"&gt; 25%","ok"))</f>
        <v>N/A</v>
      </c>
      <c r="CX23" s="83"/>
      <c r="CY23" s="83" t="str">
        <f>IF(OR(ISBLANK(AV23),ISBLANK(AX23)),"N/A",IF(ABS(AX23-AV23)&gt;25,"&gt; 25%","ok"))</f>
        <v>N/A</v>
      </c>
      <c r="CZ23" s="83"/>
      <c r="DA23" s="83" t="str">
        <f t="shared" si="0"/>
        <v>N/A</v>
      </c>
      <c r="DB23" s="276"/>
    </row>
    <row r="24" spans="4:58" ht="12" customHeight="1">
      <c r="D24" s="274"/>
      <c r="BD24" s="701" t="s">
        <v>669</v>
      </c>
      <c r="BE24" s="642"/>
      <c r="BF24" s="642"/>
    </row>
    <row r="25" spans="3:106" ht="15" customHeight="1">
      <c r="C25" s="365" t="s">
        <v>547</v>
      </c>
      <c r="D25" s="471"/>
      <c r="E25" s="472"/>
      <c r="F25" s="365"/>
      <c r="G25" s="365"/>
      <c r="BD25" s="646" t="s">
        <v>545</v>
      </c>
      <c r="BE25" s="646" t="s">
        <v>546</v>
      </c>
      <c r="BF25" s="646" t="s">
        <v>548</v>
      </c>
      <c r="BG25" s="617">
        <v>1990</v>
      </c>
      <c r="BH25" s="618"/>
      <c r="BI25" s="617">
        <v>1995</v>
      </c>
      <c r="BJ25" s="618"/>
      <c r="BK25" s="617">
        <v>1996</v>
      </c>
      <c r="BL25" s="618"/>
      <c r="BM25" s="617">
        <v>1997</v>
      </c>
      <c r="BN25" s="618"/>
      <c r="BO25" s="617">
        <v>1998</v>
      </c>
      <c r="BP25" s="618"/>
      <c r="BQ25" s="617">
        <v>1999</v>
      </c>
      <c r="BR25" s="618"/>
      <c r="BS25" s="617">
        <v>2000</v>
      </c>
      <c r="BT25" s="618"/>
      <c r="BU25" s="617">
        <v>2001</v>
      </c>
      <c r="BV25" s="618"/>
      <c r="BW25" s="617">
        <v>2002</v>
      </c>
      <c r="BX25" s="618"/>
      <c r="BY25" s="617">
        <v>2003</v>
      </c>
      <c r="BZ25" s="618"/>
      <c r="CA25" s="617">
        <v>2004</v>
      </c>
      <c r="CB25" s="618"/>
      <c r="CC25" s="617">
        <v>2005</v>
      </c>
      <c r="CD25" s="618"/>
      <c r="CE25" s="617">
        <v>2006</v>
      </c>
      <c r="CF25" s="618"/>
      <c r="CG25" s="617">
        <v>2007</v>
      </c>
      <c r="CH25" s="618"/>
      <c r="CI25" s="617">
        <v>2008</v>
      </c>
      <c r="CJ25" s="618"/>
      <c r="CK25" s="617">
        <v>2009</v>
      </c>
      <c r="CL25" s="618"/>
      <c r="CM25" s="617">
        <v>2010</v>
      </c>
      <c r="CN25" s="618"/>
      <c r="CO25" s="617">
        <v>2011</v>
      </c>
      <c r="CP25" s="619"/>
      <c r="CQ25" s="617">
        <v>2012</v>
      </c>
      <c r="CR25" s="618"/>
      <c r="CS25" s="617">
        <v>2013</v>
      </c>
      <c r="CT25" s="618"/>
      <c r="CU25" s="617">
        <v>2014</v>
      </c>
      <c r="CV25" s="619"/>
      <c r="CW25" s="617">
        <v>2015</v>
      </c>
      <c r="CX25" s="618"/>
      <c r="CY25" s="617">
        <v>2016</v>
      </c>
      <c r="CZ25" s="619"/>
      <c r="DA25" s="617">
        <v>2017</v>
      </c>
      <c r="DB25" s="227"/>
    </row>
    <row r="26" spans="3:106" ht="21.75" customHeight="1">
      <c r="C26" s="289" t="s">
        <v>466</v>
      </c>
      <c r="D26" s="788" t="s">
        <v>316</v>
      </c>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788"/>
      <c r="AE26" s="788"/>
      <c r="AF26" s="788"/>
      <c r="AG26" s="788"/>
      <c r="AH26" s="788"/>
      <c r="AI26" s="788"/>
      <c r="AJ26" s="788"/>
      <c r="AK26" s="788"/>
      <c r="AL26" s="788"/>
      <c r="AM26" s="788"/>
      <c r="AN26" s="788"/>
      <c r="AO26" s="788"/>
      <c r="AP26" s="788"/>
      <c r="AQ26" s="788"/>
      <c r="AR26" s="788"/>
      <c r="AS26" s="788"/>
      <c r="AT26" s="788"/>
      <c r="AU26" s="788"/>
      <c r="AV26" s="788"/>
      <c r="AW26" s="788"/>
      <c r="AX26" s="788"/>
      <c r="AY26" s="788"/>
      <c r="AZ26" s="788"/>
      <c r="BA26" s="788"/>
      <c r="BB26" s="788"/>
      <c r="BC26" s="473"/>
      <c r="BD26" s="608">
        <v>3</v>
      </c>
      <c r="BE26" s="689" t="s">
        <v>666</v>
      </c>
      <c r="BF26" s="608" t="s">
        <v>665</v>
      </c>
      <c r="BG26" s="84">
        <f>F10</f>
        <v>0</v>
      </c>
      <c r="BH26" s="84"/>
      <c r="BI26" s="84">
        <f aca="true" t="shared" si="23" ref="BI26:DA26">H10</f>
        <v>0</v>
      </c>
      <c r="BJ26" s="84"/>
      <c r="BK26" s="84">
        <f t="shared" si="23"/>
        <v>0</v>
      </c>
      <c r="BL26" s="84"/>
      <c r="BM26" s="84">
        <f t="shared" si="23"/>
        <v>0</v>
      </c>
      <c r="BN26" s="84"/>
      <c r="BO26" s="84">
        <f t="shared" si="23"/>
        <v>0</v>
      </c>
      <c r="BP26" s="84"/>
      <c r="BQ26" s="84">
        <f t="shared" si="23"/>
        <v>0</v>
      </c>
      <c r="BR26" s="84"/>
      <c r="BS26" s="84">
        <f t="shared" si="23"/>
        <v>0</v>
      </c>
      <c r="BT26" s="84"/>
      <c r="BU26" s="84">
        <f t="shared" si="23"/>
        <v>0</v>
      </c>
      <c r="BV26" s="84"/>
      <c r="BW26" s="84">
        <f t="shared" si="23"/>
        <v>0</v>
      </c>
      <c r="BX26" s="84"/>
      <c r="BY26" s="84">
        <f t="shared" si="23"/>
        <v>0</v>
      </c>
      <c r="BZ26" s="84"/>
      <c r="CA26" s="84">
        <f t="shared" si="23"/>
        <v>0</v>
      </c>
      <c r="CB26" s="84"/>
      <c r="CC26" s="84">
        <f t="shared" si="23"/>
        <v>0</v>
      </c>
      <c r="CD26" s="84"/>
      <c r="CE26" s="84">
        <f t="shared" si="23"/>
        <v>0</v>
      </c>
      <c r="CF26" s="84"/>
      <c r="CG26" s="84">
        <f t="shared" si="23"/>
        <v>0</v>
      </c>
      <c r="CH26" s="84"/>
      <c r="CI26" s="84">
        <f t="shared" si="23"/>
        <v>0</v>
      </c>
      <c r="CJ26" s="84"/>
      <c r="CK26" s="84">
        <f t="shared" si="23"/>
        <v>0</v>
      </c>
      <c r="CL26" s="84"/>
      <c r="CM26" s="84">
        <f t="shared" si="23"/>
        <v>0</v>
      </c>
      <c r="CN26" s="84"/>
      <c r="CO26" s="84">
        <f t="shared" si="23"/>
        <v>0</v>
      </c>
      <c r="CP26" s="84"/>
      <c r="CQ26" s="84">
        <f t="shared" si="23"/>
        <v>0</v>
      </c>
      <c r="CR26" s="84"/>
      <c r="CS26" s="84">
        <f t="shared" si="23"/>
        <v>0</v>
      </c>
      <c r="CT26" s="84"/>
      <c r="CU26" s="84">
        <f t="shared" si="23"/>
        <v>0</v>
      </c>
      <c r="CV26" s="84"/>
      <c r="CW26" s="84">
        <f t="shared" si="23"/>
        <v>0</v>
      </c>
      <c r="CX26" s="84"/>
      <c r="CY26" s="84">
        <f t="shared" si="23"/>
        <v>0</v>
      </c>
      <c r="CZ26" s="84"/>
      <c r="DA26" s="84">
        <f t="shared" si="23"/>
        <v>0</v>
      </c>
      <c r="DB26" s="249"/>
    </row>
    <row r="27" spans="1:121" s="455" customFormat="1" ht="25.5" customHeight="1">
      <c r="A27" s="291"/>
      <c r="B27" s="291"/>
      <c r="C27" s="289" t="s">
        <v>466</v>
      </c>
      <c r="D27" s="782" t="s">
        <v>185</v>
      </c>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2"/>
      <c r="AY27" s="782"/>
      <c r="AZ27" s="782"/>
      <c r="BA27" s="782"/>
      <c r="BB27" s="782"/>
      <c r="BC27" s="473"/>
      <c r="BD27" s="315">
        <v>15</v>
      </c>
      <c r="BE27" s="474" t="s">
        <v>416</v>
      </c>
      <c r="BF27" s="84" t="s">
        <v>665</v>
      </c>
      <c r="BG27" s="84">
        <f>F8-F9</f>
        <v>0</v>
      </c>
      <c r="BH27" s="84"/>
      <c r="BI27" s="84">
        <f aca="true" t="shared" si="24" ref="BI27:DA27">H8-H9</f>
        <v>0</v>
      </c>
      <c r="BJ27" s="84"/>
      <c r="BK27" s="84">
        <f t="shared" si="24"/>
        <v>0</v>
      </c>
      <c r="BL27" s="84"/>
      <c r="BM27" s="84">
        <f t="shared" si="24"/>
        <v>0</v>
      </c>
      <c r="BN27" s="84"/>
      <c r="BO27" s="84">
        <f t="shared" si="24"/>
        <v>0</v>
      </c>
      <c r="BP27" s="84"/>
      <c r="BQ27" s="84">
        <f t="shared" si="24"/>
        <v>0</v>
      </c>
      <c r="BR27" s="84"/>
      <c r="BS27" s="84">
        <f t="shared" si="24"/>
        <v>0</v>
      </c>
      <c r="BT27" s="84"/>
      <c r="BU27" s="84">
        <f t="shared" si="24"/>
        <v>0</v>
      </c>
      <c r="BV27" s="84"/>
      <c r="BW27" s="84">
        <f t="shared" si="24"/>
        <v>0</v>
      </c>
      <c r="BX27" s="84"/>
      <c r="BY27" s="84">
        <f t="shared" si="24"/>
        <v>0</v>
      </c>
      <c r="BZ27" s="84"/>
      <c r="CA27" s="84">
        <f t="shared" si="24"/>
        <v>0</v>
      </c>
      <c r="CB27" s="84"/>
      <c r="CC27" s="84">
        <f t="shared" si="24"/>
        <v>0</v>
      </c>
      <c r="CD27" s="84"/>
      <c r="CE27" s="84">
        <f t="shared" si="24"/>
        <v>0</v>
      </c>
      <c r="CF27" s="84"/>
      <c r="CG27" s="84">
        <f t="shared" si="24"/>
        <v>0</v>
      </c>
      <c r="CH27" s="84"/>
      <c r="CI27" s="84">
        <f t="shared" si="24"/>
        <v>0</v>
      </c>
      <c r="CJ27" s="84"/>
      <c r="CK27" s="84">
        <f t="shared" si="24"/>
        <v>0</v>
      </c>
      <c r="CL27" s="84"/>
      <c r="CM27" s="84">
        <f t="shared" si="24"/>
        <v>0</v>
      </c>
      <c r="CN27" s="84"/>
      <c r="CO27" s="84">
        <f t="shared" si="24"/>
        <v>0</v>
      </c>
      <c r="CP27" s="84"/>
      <c r="CQ27" s="84">
        <f t="shared" si="24"/>
        <v>0</v>
      </c>
      <c r="CR27" s="84"/>
      <c r="CS27" s="84">
        <f t="shared" si="24"/>
        <v>0</v>
      </c>
      <c r="CT27" s="84"/>
      <c r="CU27" s="84">
        <f t="shared" si="24"/>
        <v>0</v>
      </c>
      <c r="CV27" s="84"/>
      <c r="CW27" s="84">
        <f t="shared" si="24"/>
        <v>0</v>
      </c>
      <c r="CX27" s="84"/>
      <c r="CY27" s="84">
        <f t="shared" si="24"/>
        <v>0</v>
      </c>
      <c r="CZ27" s="84"/>
      <c r="DA27" s="84">
        <f t="shared" si="24"/>
        <v>0</v>
      </c>
      <c r="DB27" s="249"/>
      <c r="DC27" s="475"/>
      <c r="DD27" s="475"/>
      <c r="DE27" s="475"/>
      <c r="DF27" s="475"/>
      <c r="DG27" s="475"/>
      <c r="DH27" s="475"/>
      <c r="DI27" s="475"/>
      <c r="DJ27" s="475"/>
      <c r="DK27" s="475"/>
      <c r="DL27" s="475"/>
      <c r="DM27" s="475"/>
      <c r="DN27" s="475"/>
      <c r="DO27" s="475"/>
      <c r="DP27" s="475"/>
      <c r="DQ27" s="475"/>
    </row>
    <row r="28" spans="1:121" s="455" customFormat="1" ht="14.25" customHeight="1">
      <c r="A28" s="291"/>
      <c r="B28" s="291"/>
      <c r="C28" s="289" t="s">
        <v>466</v>
      </c>
      <c r="D28" s="788" t="s">
        <v>338</v>
      </c>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290"/>
      <c r="AW28" s="290"/>
      <c r="AX28" s="290"/>
      <c r="AY28" s="290"/>
      <c r="AZ28" s="290"/>
      <c r="BA28" s="290"/>
      <c r="BB28" s="290"/>
      <c r="BC28" s="473"/>
      <c r="BD28" s="300" t="s">
        <v>469</v>
      </c>
      <c r="BE28" s="297" t="s">
        <v>670</v>
      </c>
      <c r="BF28" s="84"/>
      <c r="BG28" s="84" t="str">
        <f>IF(OR(ISBLANK(F8),ISBLANK(F9),ISBLANK(F10)),"N/A",IF((BG26=BG27),"ok","&lt;&gt;"))</f>
        <v>N/A</v>
      </c>
      <c r="BH28" s="84"/>
      <c r="BI28" s="84" t="str">
        <f aca="true" t="shared" si="25" ref="BI28:DA28">IF(OR(ISBLANK(H8),ISBLANK(H9),ISBLANK(H10)),"N/A",IF((BI26=BI27),"ok","&lt;&gt;"))</f>
        <v>N/A</v>
      </c>
      <c r="BJ28" s="84"/>
      <c r="BK28" s="84" t="str">
        <f t="shared" si="25"/>
        <v>N/A</v>
      </c>
      <c r="BL28" s="84"/>
      <c r="BM28" s="84" t="str">
        <f t="shared" si="25"/>
        <v>N/A</v>
      </c>
      <c r="BN28" s="84"/>
      <c r="BO28" s="84" t="str">
        <f t="shared" si="25"/>
        <v>N/A</v>
      </c>
      <c r="BP28" s="84"/>
      <c r="BQ28" s="84" t="str">
        <f t="shared" si="25"/>
        <v>N/A</v>
      </c>
      <c r="BR28" s="84"/>
      <c r="BS28" s="84" t="str">
        <f t="shared" si="25"/>
        <v>N/A</v>
      </c>
      <c r="BT28" s="84"/>
      <c r="BU28" s="84" t="str">
        <f t="shared" si="25"/>
        <v>N/A</v>
      </c>
      <c r="BV28" s="84"/>
      <c r="BW28" s="84" t="str">
        <f t="shared" si="25"/>
        <v>N/A</v>
      </c>
      <c r="BX28" s="84"/>
      <c r="BY28" s="84" t="str">
        <f t="shared" si="25"/>
        <v>N/A</v>
      </c>
      <c r="BZ28" s="84"/>
      <c r="CA28" s="84" t="str">
        <f t="shared" si="25"/>
        <v>N/A</v>
      </c>
      <c r="CB28" s="84"/>
      <c r="CC28" s="84" t="str">
        <f t="shared" si="25"/>
        <v>N/A</v>
      </c>
      <c r="CD28" s="84"/>
      <c r="CE28" s="84" t="str">
        <f t="shared" si="25"/>
        <v>N/A</v>
      </c>
      <c r="CF28" s="84"/>
      <c r="CG28" s="84" t="str">
        <f t="shared" si="25"/>
        <v>N/A</v>
      </c>
      <c r="CH28" s="84"/>
      <c r="CI28" s="84" t="str">
        <f t="shared" si="25"/>
        <v>N/A</v>
      </c>
      <c r="CJ28" s="84"/>
      <c r="CK28" s="84" t="str">
        <f t="shared" si="25"/>
        <v>N/A</v>
      </c>
      <c r="CL28" s="84"/>
      <c r="CM28" s="84" t="str">
        <f t="shared" si="25"/>
        <v>N/A</v>
      </c>
      <c r="CN28" s="84"/>
      <c r="CO28" s="84" t="str">
        <f t="shared" si="25"/>
        <v>N/A</v>
      </c>
      <c r="CP28" s="84"/>
      <c r="CQ28" s="84" t="str">
        <f t="shared" si="25"/>
        <v>N/A</v>
      </c>
      <c r="CR28" s="84"/>
      <c r="CS28" s="84" t="str">
        <f t="shared" si="25"/>
        <v>N/A</v>
      </c>
      <c r="CT28" s="84"/>
      <c r="CU28" s="84" t="str">
        <f t="shared" si="25"/>
        <v>N/A</v>
      </c>
      <c r="CV28" s="84"/>
      <c r="CW28" s="84" t="str">
        <f t="shared" si="25"/>
        <v>N/A</v>
      </c>
      <c r="CX28" s="84"/>
      <c r="CY28" s="84" t="str">
        <f t="shared" si="25"/>
        <v>N/A</v>
      </c>
      <c r="CZ28" s="84"/>
      <c r="DA28" s="84" t="str">
        <f t="shared" si="25"/>
        <v>N/A</v>
      </c>
      <c r="DB28" s="249"/>
      <c r="DC28" s="475"/>
      <c r="DD28" s="475"/>
      <c r="DE28" s="475"/>
      <c r="DF28" s="475"/>
      <c r="DG28" s="475"/>
      <c r="DH28" s="475"/>
      <c r="DI28" s="475"/>
      <c r="DJ28" s="475"/>
      <c r="DK28" s="475"/>
      <c r="DL28" s="475"/>
      <c r="DM28" s="475"/>
      <c r="DN28" s="475"/>
      <c r="DO28" s="475"/>
      <c r="DP28" s="475"/>
      <c r="DQ28" s="475"/>
    </row>
    <row r="29" spans="1:121" s="455" customFormat="1" ht="29.25" customHeight="1">
      <c r="A29" s="291"/>
      <c r="B29" s="291"/>
      <c r="C29" s="289" t="s">
        <v>466</v>
      </c>
      <c r="D29" s="788" t="s">
        <v>504</v>
      </c>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788"/>
      <c r="AZ29" s="788"/>
      <c r="BA29" s="788"/>
      <c r="BB29" s="788"/>
      <c r="BC29" s="473"/>
      <c r="BD29" s="315">
        <v>16</v>
      </c>
      <c r="BE29" s="297" t="s">
        <v>671</v>
      </c>
      <c r="BF29" s="84" t="s">
        <v>665</v>
      </c>
      <c r="BG29" s="84">
        <f>SUM(F12:F16)+SUM(F18:F19)</f>
        <v>0</v>
      </c>
      <c r="BH29" s="84"/>
      <c r="BI29" s="84">
        <f aca="true" t="shared" si="26" ref="BI29:DA29">SUM(H12:H16)+SUM(H18:H19)</f>
        <v>0</v>
      </c>
      <c r="BJ29" s="84"/>
      <c r="BK29" s="84">
        <f t="shared" si="26"/>
        <v>0</v>
      </c>
      <c r="BL29" s="84"/>
      <c r="BM29" s="84">
        <f t="shared" si="26"/>
        <v>0</v>
      </c>
      <c r="BN29" s="84"/>
      <c r="BO29" s="84">
        <f t="shared" si="26"/>
        <v>0</v>
      </c>
      <c r="BP29" s="84"/>
      <c r="BQ29" s="84">
        <f t="shared" si="26"/>
        <v>0</v>
      </c>
      <c r="BR29" s="84"/>
      <c r="BS29" s="84">
        <f t="shared" si="26"/>
        <v>0</v>
      </c>
      <c r="BT29" s="84"/>
      <c r="BU29" s="84">
        <f t="shared" si="26"/>
        <v>0</v>
      </c>
      <c r="BV29" s="84"/>
      <c r="BW29" s="84">
        <f t="shared" si="26"/>
        <v>0</v>
      </c>
      <c r="BX29" s="84"/>
      <c r="BY29" s="84">
        <f t="shared" si="26"/>
        <v>0</v>
      </c>
      <c r="BZ29" s="84"/>
      <c r="CA29" s="84">
        <f t="shared" si="26"/>
        <v>0</v>
      </c>
      <c r="CB29" s="84"/>
      <c r="CC29" s="84">
        <f t="shared" si="26"/>
        <v>0</v>
      </c>
      <c r="CD29" s="84"/>
      <c r="CE29" s="84">
        <f t="shared" si="26"/>
        <v>0</v>
      </c>
      <c r="CF29" s="84"/>
      <c r="CG29" s="84">
        <f t="shared" si="26"/>
        <v>0</v>
      </c>
      <c r="CH29" s="84"/>
      <c r="CI29" s="84">
        <f t="shared" si="26"/>
        <v>0</v>
      </c>
      <c r="CJ29" s="84"/>
      <c r="CK29" s="84">
        <f t="shared" si="26"/>
        <v>0</v>
      </c>
      <c r="CL29" s="84"/>
      <c r="CM29" s="84">
        <f t="shared" si="26"/>
        <v>0</v>
      </c>
      <c r="CN29" s="84"/>
      <c r="CO29" s="84">
        <f t="shared" si="26"/>
        <v>0</v>
      </c>
      <c r="CP29" s="84"/>
      <c r="CQ29" s="84">
        <f t="shared" si="26"/>
        <v>0</v>
      </c>
      <c r="CR29" s="84"/>
      <c r="CS29" s="84">
        <f t="shared" si="26"/>
        <v>0</v>
      </c>
      <c r="CT29" s="84"/>
      <c r="CU29" s="84">
        <f t="shared" si="26"/>
        <v>0</v>
      </c>
      <c r="CV29" s="84"/>
      <c r="CW29" s="84">
        <f t="shared" si="26"/>
        <v>0</v>
      </c>
      <c r="CX29" s="84"/>
      <c r="CY29" s="84">
        <f t="shared" si="26"/>
        <v>0</v>
      </c>
      <c r="CZ29" s="84"/>
      <c r="DA29" s="84">
        <f t="shared" si="26"/>
        <v>0</v>
      </c>
      <c r="DB29" s="249"/>
      <c r="DC29" s="475"/>
      <c r="DD29" s="475"/>
      <c r="DE29" s="475"/>
      <c r="DF29" s="475"/>
      <c r="DG29" s="475"/>
      <c r="DH29" s="475"/>
      <c r="DI29" s="475"/>
      <c r="DJ29" s="475"/>
      <c r="DK29" s="475"/>
      <c r="DL29" s="475"/>
      <c r="DM29" s="475"/>
      <c r="DN29" s="475"/>
      <c r="DO29" s="475"/>
      <c r="DP29" s="475"/>
      <c r="DQ29" s="475"/>
    </row>
    <row r="30" spans="1:121" s="455" customFormat="1" ht="24.75" customHeight="1">
      <c r="A30" s="291"/>
      <c r="B30" s="291"/>
      <c r="C30" s="289"/>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473"/>
      <c r="BD30" s="300" t="s">
        <v>469</v>
      </c>
      <c r="BE30" s="297" t="s">
        <v>672</v>
      </c>
      <c r="BF30" s="84"/>
      <c r="BG30" s="84" t="str">
        <f>IF(OR(ISBLANK(F12),ISBLANK(F13),ISBLANK(F14),ISBLANK(F15),ISBLANK(F16),ISBLANK(F18),ISBLANK(F19),ISBLANK(F10)),"N/A",IF((BG26=BG29),"ok","&lt;&gt;"))</f>
        <v>N/A</v>
      </c>
      <c r="BH30" s="84"/>
      <c r="BI30" s="84" t="str">
        <f aca="true" t="shared" si="27" ref="BI30:DA30">IF(OR(ISBLANK(H12),ISBLANK(H13),ISBLANK(H14),ISBLANK(H15),ISBLANK(H16),ISBLANK(H18),ISBLANK(H19),ISBLANK(H10)),"N/A",IF((BI26=BI29),"ok","&lt;&gt;"))</f>
        <v>N/A</v>
      </c>
      <c r="BJ30" s="84"/>
      <c r="BK30" s="84" t="str">
        <f t="shared" si="27"/>
        <v>N/A</v>
      </c>
      <c r="BL30" s="84"/>
      <c r="BM30" s="84" t="str">
        <f t="shared" si="27"/>
        <v>N/A</v>
      </c>
      <c r="BN30" s="84"/>
      <c r="BO30" s="84" t="str">
        <f t="shared" si="27"/>
        <v>N/A</v>
      </c>
      <c r="BP30" s="84"/>
      <c r="BQ30" s="84" t="str">
        <f t="shared" si="27"/>
        <v>N/A</v>
      </c>
      <c r="BR30" s="84"/>
      <c r="BS30" s="84" t="str">
        <f t="shared" si="27"/>
        <v>N/A</v>
      </c>
      <c r="BT30" s="84"/>
      <c r="BU30" s="84" t="str">
        <f t="shared" si="27"/>
        <v>N/A</v>
      </c>
      <c r="BV30" s="84"/>
      <c r="BW30" s="84" t="str">
        <f t="shared" si="27"/>
        <v>N/A</v>
      </c>
      <c r="BX30" s="84"/>
      <c r="BY30" s="84" t="str">
        <f t="shared" si="27"/>
        <v>N/A</v>
      </c>
      <c r="BZ30" s="84"/>
      <c r="CA30" s="84" t="str">
        <f t="shared" si="27"/>
        <v>N/A</v>
      </c>
      <c r="CB30" s="84"/>
      <c r="CC30" s="84" t="str">
        <f t="shared" si="27"/>
        <v>N/A</v>
      </c>
      <c r="CD30" s="84"/>
      <c r="CE30" s="84" t="str">
        <f t="shared" si="27"/>
        <v>N/A</v>
      </c>
      <c r="CF30" s="84"/>
      <c r="CG30" s="84" t="str">
        <f t="shared" si="27"/>
        <v>N/A</v>
      </c>
      <c r="CH30" s="84"/>
      <c r="CI30" s="84" t="str">
        <f t="shared" si="27"/>
        <v>N/A</v>
      </c>
      <c r="CJ30" s="84"/>
      <c r="CK30" s="84" t="str">
        <f t="shared" si="27"/>
        <v>N/A</v>
      </c>
      <c r="CL30" s="84"/>
      <c r="CM30" s="84" t="str">
        <f t="shared" si="27"/>
        <v>N/A</v>
      </c>
      <c r="CN30" s="84"/>
      <c r="CO30" s="84" t="str">
        <f t="shared" si="27"/>
        <v>N/A</v>
      </c>
      <c r="CP30" s="84"/>
      <c r="CQ30" s="84" t="str">
        <f t="shared" si="27"/>
        <v>N/A</v>
      </c>
      <c r="CR30" s="84"/>
      <c r="CS30" s="84" t="str">
        <f t="shared" si="27"/>
        <v>N/A</v>
      </c>
      <c r="CT30" s="84"/>
      <c r="CU30" s="84" t="str">
        <f t="shared" si="27"/>
        <v>N/A</v>
      </c>
      <c r="CV30" s="84"/>
      <c r="CW30" s="84" t="str">
        <f t="shared" si="27"/>
        <v>N/A</v>
      </c>
      <c r="CX30" s="84"/>
      <c r="CY30" s="84" t="str">
        <f t="shared" si="27"/>
        <v>N/A</v>
      </c>
      <c r="CZ30" s="84"/>
      <c r="DA30" s="84" t="str">
        <f t="shared" si="27"/>
        <v>N/A</v>
      </c>
      <c r="DB30" s="249"/>
      <c r="DC30" s="475"/>
      <c r="DD30" s="475"/>
      <c r="DE30" s="475"/>
      <c r="DF30" s="475"/>
      <c r="DG30" s="475"/>
      <c r="DH30" s="475"/>
      <c r="DI30" s="475"/>
      <c r="DJ30" s="475"/>
      <c r="DK30" s="475"/>
      <c r="DL30" s="475"/>
      <c r="DM30" s="475"/>
      <c r="DN30" s="475"/>
      <c r="DO30" s="475"/>
      <c r="DP30" s="475"/>
      <c r="DQ30" s="475"/>
    </row>
    <row r="31" spans="1:121" ht="32.25" customHeight="1">
      <c r="A31" s="291"/>
      <c r="B31" s="291"/>
      <c r="C31" s="289"/>
      <c r="D31" s="301"/>
      <c r="E31" s="301"/>
      <c r="F31" s="301"/>
      <c r="G31" s="301"/>
      <c r="H31" s="301"/>
      <c r="I31" s="301"/>
      <c r="J31" s="301"/>
      <c r="K31" s="301"/>
      <c r="L31" s="301"/>
      <c r="M31" s="301"/>
      <c r="N31" s="301"/>
      <c r="O31" s="861" t="str">
        <f>D11</f>
        <v>Volume d’eau douce fourni aux destinataires ou aux fins des activités suivantes :</v>
      </c>
      <c r="P31" s="861"/>
      <c r="Q31" s="861"/>
      <c r="R31" s="861"/>
      <c r="S31" s="301"/>
      <c r="T31" s="301"/>
      <c r="U31" s="858" t="str">
        <f>D12&amp;" (W3,4)"</f>
        <v>Ménages (W3,4)</v>
      </c>
      <c r="V31" s="859"/>
      <c r="W31" s="859"/>
      <c r="X31" s="859"/>
      <c r="Y31" s="859"/>
      <c r="Z31" s="859"/>
      <c r="AA31" s="859"/>
      <c r="AB31" s="860"/>
      <c r="AC31" s="301"/>
      <c r="AD31" s="301"/>
      <c r="AE31" s="301"/>
      <c r="AF31" s="301"/>
      <c r="AG31" s="301"/>
      <c r="AH31" s="476"/>
      <c r="AI31" s="476"/>
      <c r="AJ31" s="476"/>
      <c r="AK31" s="305"/>
      <c r="AL31" s="302"/>
      <c r="AM31" s="625"/>
      <c r="AN31" s="635"/>
      <c r="AO31" s="635"/>
      <c r="AP31" s="635"/>
      <c r="AQ31" s="635"/>
      <c r="AR31" s="635"/>
      <c r="AS31" s="635"/>
      <c r="AT31" s="635"/>
      <c r="AU31" s="635"/>
      <c r="AV31" s="635"/>
      <c r="AW31" s="635"/>
      <c r="AX31" s="635"/>
      <c r="AY31" s="635"/>
      <c r="AZ31" s="635"/>
      <c r="BA31" s="635"/>
      <c r="BB31" s="301"/>
      <c r="BC31" s="478"/>
      <c r="BD31" s="325" t="s">
        <v>469</v>
      </c>
      <c r="BE31" s="479" t="s">
        <v>673</v>
      </c>
      <c r="BF31" s="101"/>
      <c r="BG31" s="101" t="str">
        <f>IF(OR(ISBLANK(F21),ISBLANK(F22),ISBLANK(F23)),"N/A",IF(F21&lt;F23,"&lt;&gt;",IF(F21&gt;F22,"&lt;&gt;","ok")))</f>
        <v>N/A</v>
      </c>
      <c r="BH31" s="101"/>
      <c r="BI31" s="101" t="str">
        <f aca="true" t="shared" si="28" ref="BI31:DA31">IF(OR(ISBLANK(H21),ISBLANK(H22),ISBLANK(H23)),"N/A",IF(H21&lt;H23,"&lt;&gt;",IF(H21&gt;H22,"&lt;&gt;","ok")))</f>
        <v>N/A</v>
      </c>
      <c r="BJ31" s="101"/>
      <c r="BK31" s="101" t="str">
        <f t="shared" si="28"/>
        <v>N/A</v>
      </c>
      <c r="BL31" s="101"/>
      <c r="BM31" s="101" t="str">
        <f t="shared" si="28"/>
        <v>N/A</v>
      </c>
      <c r="BN31" s="101"/>
      <c r="BO31" s="101" t="str">
        <f t="shared" si="28"/>
        <v>N/A</v>
      </c>
      <c r="BP31" s="101"/>
      <c r="BQ31" s="101" t="str">
        <f t="shared" si="28"/>
        <v>N/A</v>
      </c>
      <c r="BR31" s="101"/>
      <c r="BS31" s="101" t="str">
        <f t="shared" si="28"/>
        <v>N/A</v>
      </c>
      <c r="BT31" s="101"/>
      <c r="BU31" s="101" t="str">
        <f t="shared" si="28"/>
        <v>N/A</v>
      </c>
      <c r="BV31" s="101"/>
      <c r="BW31" s="101" t="str">
        <f t="shared" si="28"/>
        <v>N/A</v>
      </c>
      <c r="BX31" s="101"/>
      <c r="BY31" s="101" t="str">
        <f t="shared" si="28"/>
        <v>N/A</v>
      </c>
      <c r="BZ31" s="101"/>
      <c r="CA31" s="101" t="str">
        <f t="shared" si="28"/>
        <v>N/A</v>
      </c>
      <c r="CB31" s="101"/>
      <c r="CC31" s="101" t="str">
        <f t="shared" si="28"/>
        <v>N/A</v>
      </c>
      <c r="CD31" s="101"/>
      <c r="CE31" s="101" t="str">
        <f t="shared" si="28"/>
        <v>N/A</v>
      </c>
      <c r="CF31" s="101"/>
      <c r="CG31" s="101" t="str">
        <f t="shared" si="28"/>
        <v>N/A</v>
      </c>
      <c r="CH31" s="101"/>
      <c r="CI31" s="101" t="str">
        <f t="shared" si="28"/>
        <v>N/A</v>
      </c>
      <c r="CJ31" s="101"/>
      <c r="CK31" s="101" t="str">
        <f t="shared" si="28"/>
        <v>N/A</v>
      </c>
      <c r="CL31" s="101"/>
      <c r="CM31" s="101" t="str">
        <f t="shared" si="28"/>
        <v>N/A</v>
      </c>
      <c r="CN31" s="101"/>
      <c r="CO31" s="101" t="str">
        <f t="shared" si="28"/>
        <v>N/A</v>
      </c>
      <c r="CP31" s="101"/>
      <c r="CQ31" s="101" t="str">
        <f t="shared" si="28"/>
        <v>N/A</v>
      </c>
      <c r="CR31" s="101"/>
      <c r="CS31" s="101" t="str">
        <f t="shared" si="28"/>
        <v>N/A</v>
      </c>
      <c r="CT31" s="101"/>
      <c r="CU31" s="101" t="str">
        <f t="shared" si="28"/>
        <v>N/A</v>
      </c>
      <c r="CV31" s="101"/>
      <c r="CW31" s="101" t="str">
        <f t="shared" si="28"/>
        <v>N/A</v>
      </c>
      <c r="CX31" s="101"/>
      <c r="CY31" s="101" t="str">
        <f t="shared" si="28"/>
        <v>N/A</v>
      </c>
      <c r="CZ31" s="101"/>
      <c r="DA31" s="101" t="str">
        <f t="shared" si="28"/>
        <v>N/A</v>
      </c>
      <c r="DB31" s="276"/>
      <c r="DC31" s="292"/>
      <c r="DD31" s="292"/>
      <c r="DE31" s="292"/>
      <c r="DF31" s="292"/>
      <c r="DG31" s="292"/>
      <c r="DH31" s="292"/>
      <c r="DI31" s="292"/>
      <c r="DJ31" s="292"/>
      <c r="DK31" s="292"/>
      <c r="DL31" s="292"/>
      <c r="DM31" s="292"/>
      <c r="DN31" s="292"/>
      <c r="DO31" s="292"/>
      <c r="DP31" s="292"/>
      <c r="DQ31" s="292"/>
    </row>
    <row r="32" spans="1:121" ht="3" customHeight="1">
      <c r="A32" s="291"/>
      <c r="B32" s="291"/>
      <c r="C32" s="289"/>
      <c r="D32" s="301"/>
      <c r="E32" s="301"/>
      <c r="F32" s="301"/>
      <c r="G32" s="301"/>
      <c r="H32" s="301"/>
      <c r="I32" s="301"/>
      <c r="J32" s="301"/>
      <c r="K32" s="846" t="str">
        <f>LEFT(D10,LEN(D10)-21)&amp;" (W3,3)"</f>
        <v>Quantité nette d’eau douce fournie par les services d’alimentation en eau (CITI 36) (=1- (W3,3)</v>
      </c>
      <c r="L32" s="847"/>
      <c r="M32" s="847"/>
      <c r="N32" s="848"/>
      <c r="O32" s="861"/>
      <c r="P32" s="861"/>
      <c r="Q32" s="861"/>
      <c r="R32" s="861"/>
      <c r="S32" s="301"/>
      <c r="T32" s="301"/>
      <c r="U32" s="301"/>
      <c r="V32" s="301"/>
      <c r="W32" s="301"/>
      <c r="X32" s="301"/>
      <c r="Y32" s="301"/>
      <c r="Z32" s="301"/>
      <c r="AA32" s="301"/>
      <c r="AB32" s="301"/>
      <c r="AC32" s="301"/>
      <c r="AD32" s="301"/>
      <c r="AE32" s="301"/>
      <c r="AF32" s="301"/>
      <c r="AG32" s="301"/>
      <c r="AH32" s="476"/>
      <c r="AI32" s="476"/>
      <c r="AJ32" s="476"/>
      <c r="AK32" s="305"/>
      <c r="AL32" s="480"/>
      <c r="AM32" s="636"/>
      <c r="AN32" s="636"/>
      <c r="AO32" s="636"/>
      <c r="AP32" s="636"/>
      <c r="AQ32" s="636"/>
      <c r="AR32" s="636"/>
      <c r="AS32" s="636"/>
      <c r="AT32" s="636"/>
      <c r="AU32" s="636"/>
      <c r="AV32" s="636"/>
      <c r="AW32" s="636"/>
      <c r="AX32" s="636"/>
      <c r="AY32" s="636"/>
      <c r="AZ32" s="633"/>
      <c r="BA32" s="633"/>
      <c r="BB32" s="301"/>
      <c r="BC32" s="478"/>
      <c r="BD32" s="84"/>
      <c r="BE32" s="481"/>
      <c r="BF32" s="84"/>
      <c r="BG32" s="84"/>
      <c r="BH32" s="84"/>
      <c r="BI32" s="85"/>
      <c r="BJ32" s="85"/>
      <c r="BK32" s="85"/>
      <c r="BL32" s="85"/>
      <c r="BM32" s="85"/>
      <c r="BN32" s="85"/>
      <c r="BO32" s="85"/>
      <c r="BP32" s="85"/>
      <c r="BQ32" s="85"/>
      <c r="BR32" s="85"/>
      <c r="BS32" s="85"/>
      <c r="BT32" s="85"/>
      <c r="BU32" s="85"/>
      <c r="BV32" s="85"/>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266"/>
      <c r="DC32" s="292"/>
      <c r="DD32" s="292"/>
      <c r="DE32" s="292"/>
      <c r="DF32" s="292"/>
      <c r="DG32" s="292"/>
      <c r="DH32" s="292"/>
      <c r="DI32" s="292"/>
      <c r="DJ32" s="292"/>
      <c r="DK32" s="292"/>
      <c r="DL32" s="292"/>
      <c r="DM32" s="292"/>
      <c r="DN32" s="292"/>
      <c r="DO32" s="292"/>
      <c r="DP32" s="292"/>
      <c r="DQ32" s="292"/>
    </row>
    <row r="33" spans="1:121" ht="35.25" customHeight="1">
      <c r="A33" s="291"/>
      <c r="B33" s="291"/>
      <c r="C33" s="289"/>
      <c r="D33" s="855" t="str">
        <f>D8&amp;" (W3, 1)"</f>
        <v>Quantité brute d’eau douce fournie par les services d’alimentation en eau (CITI 36) (W3, 1)</v>
      </c>
      <c r="E33" s="302"/>
      <c r="F33" s="637"/>
      <c r="G33" s="637"/>
      <c r="H33" s="637"/>
      <c r="I33" s="637"/>
      <c r="J33" s="637"/>
      <c r="K33" s="849"/>
      <c r="L33" s="850"/>
      <c r="M33" s="850"/>
      <c r="N33" s="851"/>
      <c r="O33" s="861"/>
      <c r="P33" s="861"/>
      <c r="Q33" s="861"/>
      <c r="R33" s="861"/>
      <c r="S33" s="637"/>
      <c r="T33" s="637"/>
      <c r="U33" s="858" t="str">
        <f>D13&amp;" (W3,5)"</f>
        <v>Agriculture, sylviculture et pêche (divisions 1 
à 3 de la CITI) (W3,5)</v>
      </c>
      <c r="V33" s="859"/>
      <c r="W33" s="859"/>
      <c r="X33" s="859"/>
      <c r="Y33" s="859"/>
      <c r="Z33" s="859"/>
      <c r="AA33" s="859"/>
      <c r="AB33" s="860"/>
      <c r="AC33" s="303"/>
      <c r="AD33" s="302"/>
      <c r="AE33" s="634"/>
      <c r="AF33" s="634"/>
      <c r="AG33" s="476"/>
      <c r="AH33" s="476"/>
      <c r="AI33" s="476"/>
      <c r="AJ33" s="476"/>
      <c r="AK33" s="305"/>
      <c r="AL33" s="302"/>
      <c r="AM33" s="625"/>
      <c r="AN33" s="635"/>
      <c r="AO33" s="635"/>
      <c r="AP33" s="635"/>
      <c r="AQ33" s="635"/>
      <c r="AR33" s="635"/>
      <c r="AS33" s="635"/>
      <c r="AT33" s="635"/>
      <c r="AU33" s="635"/>
      <c r="AV33" s="635"/>
      <c r="AW33" s="635"/>
      <c r="AX33" s="635"/>
      <c r="AY33" s="635"/>
      <c r="AZ33" s="635"/>
      <c r="BA33" s="635"/>
      <c r="BB33" s="301"/>
      <c r="BC33" s="478"/>
      <c r="BD33" s="327" t="s">
        <v>429</v>
      </c>
      <c r="BE33" s="328" t="s">
        <v>430</v>
      </c>
      <c r="DB33" s="422"/>
      <c r="DC33" s="292"/>
      <c r="DD33" s="292"/>
      <c r="DE33" s="292"/>
      <c r="DF33" s="292"/>
      <c r="DG33" s="292"/>
      <c r="DH33" s="292"/>
      <c r="DI33" s="292"/>
      <c r="DJ33" s="292"/>
      <c r="DK33" s="292"/>
      <c r="DL33" s="292"/>
      <c r="DM33" s="292"/>
      <c r="DN33" s="292"/>
      <c r="DO33" s="292"/>
      <c r="DP33" s="292"/>
      <c r="DQ33" s="292"/>
    </row>
    <row r="34" spans="1:121" ht="2.25" customHeight="1">
      <c r="A34" s="291"/>
      <c r="B34" s="291"/>
      <c r="C34" s="289"/>
      <c r="D34" s="856"/>
      <c r="E34" s="637"/>
      <c r="F34" s="637"/>
      <c r="G34" s="637"/>
      <c r="H34" s="637"/>
      <c r="I34" s="637"/>
      <c r="J34" s="637"/>
      <c r="K34" s="849"/>
      <c r="L34" s="850"/>
      <c r="M34" s="850"/>
      <c r="N34" s="851"/>
      <c r="O34" s="637"/>
      <c r="P34" s="637"/>
      <c r="Q34" s="637"/>
      <c r="R34" s="637"/>
      <c r="S34" s="637"/>
      <c r="T34" s="637"/>
      <c r="U34" s="637"/>
      <c r="V34" s="637"/>
      <c r="W34" s="637"/>
      <c r="X34" s="637"/>
      <c r="Y34" s="637"/>
      <c r="Z34" s="637"/>
      <c r="AA34" s="304"/>
      <c r="AB34" s="303"/>
      <c r="AC34" s="303"/>
      <c r="AD34" s="623"/>
      <c r="AE34" s="634"/>
      <c r="AF34" s="634"/>
      <c r="AG34" s="476"/>
      <c r="AH34" s="476"/>
      <c r="AI34" s="476"/>
      <c r="AJ34" s="476"/>
      <c r="AK34" s="305"/>
      <c r="AL34" s="480"/>
      <c r="AM34" s="636"/>
      <c r="AN34" s="636"/>
      <c r="AO34" s="636"/>
      <c r="AP34" s="636"/>
      <c r="AQ34" s="636"/>
      <c r="AR34" s="636"/>
      <c r="AS34" s="636"/>
      <c r="AT34" s="636"/>
      <c r="AU34" s="636"/>
      <c r="AV34" s="636"/>
      <c r="AW34" s="636"/>
      <c r="AX34" s="636"/>
      <c r="AY34" s="636"/>
      <c r="AZ34" s="633"/>
      <c r="BA34" s="633"/>
      <c r="BB34" s="301"/>
      <c r="BC34" s="478"/>
      <c r="BF34" s="99"/>
      <c r="BG34" s="99"/>
      <c r="BH34" s="99"/>
      <c r="BI34" s="116"/>
      <c r="BJ34" s="116"/>
      <c r="BK34" s="116"/>
      <c r="BL34" s="116"/>
      <c r="BM34" s="116"/>
      <c r="BN34" s="116"/>
      <c r="BO34" s="116"/>
      <c r="BP34" s="116"/>
      <c r="BQ34" s="116"/>
      <c r="BR34" s="116"/>
      <c r="BS34" s="116"/>
      <c r="BT34" s="116"/>
      <c r="BU34" s="116"/>
      <c r="BV34" s="116"/>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422"/>
      <c r="DC34" s="292"/>
      <c r="DD34" s="292"/>
      <c r="DE34" s="292"/>
      <c r="DF34" s="292"/>
      <c r="DG34" s="292"/>
      <c r="DH34" s="292"/>
      <c r="DI34" s="292"/>
      <c r="DJ34" s="292"/>
      <c r="DK34" s="292"/>
      <c r="DL34" s="292"/>
      <c r="DM34" s="292"/>
      <c r="DN34" s="292"/>
      <c r="DO34" s="292"/>
      <c r="DP34" s="292"/>
      <c r="DQ34" s="292"/>
    </row>
    <row r="35" spans="1:121" ht="33" customHeight="1">
      <c r="A35" s="291"/>
      <c r="B35" s="291"/>
      <c r="C35" s="289"/>
      <c r="D35" s="856"/>
      <c r="E35" s="637"/>
      <c r="F35" s="637"/>
      <c r="G35" s="637"/>
      <c r="H35" s="637"/>
      <c r="I35" s="637"/>
      <c r="J35" s="637"/>
      <c r="K35" s="849"/>
      <c r="L35" s="850"/>
      <c r="M35" s="850"/>
      <c r="N35" s="851"/>
      <c r="O35" s="637"/>
      <c r="P35" s="637"/>
      <c r="Q35" s="637"/>
      <c r="R35" s="637"/>
      <c r="S35" s="637"/>
      <c r="T35" s="637"/>
      <c r="U35" s="858" t="str">
        <f>D14&amp;" (W3,6)"</f>
        <v>Activités extractives (divisions 5 à 9 de la CITI) (W3,6)</v>
      </c>
      <c r="V35" s="859"/>
      <c r="W35" s="859"/>
      <c r="X35" s="859"/>
      <c r="Y35" s="859"/>
      <c r="Z35" s="859"/>
      <c r="AA35" s="859"/>
      <c r="AB35" s="860"/>
      <c r="AC35" s="303"/>
      <c r="AD35" s="623"/>
      <c r="AE35" s="634"/>
      <c r="AF35" s="634"/>
      <c r="AG35" s="301"/>
      <c r="AH35" s="476"/>
      <c r="AI35" s="476"/>
      <c r="AJ35" s="476"/>
      <c r="AK35" s="305"/>
      <c r="AL35" s="302"/>
      <c r="AM35" s="625"/>
      <c r="AN35" s="635"/>
      <c r="AO35" s="635"/>
      <c r="AP35" s="635"/>
      <c r="AQ35" s="635"/>
      <c r="AR35" s="635"/>
      <c r="AS35" s="635"/>
      <c r="AT35" s="635"/>
      <c r="AU35" s="635"/>
      <c r="AV35" s="635"/>
      <c r="AW35" s="635"/>
      <c r="AX35" s="635"/>
      <c r="AY35" s="635"/>
      <c r="AZ35" s="635"/>
      <c r="BA35" s="635"/>
      <c r="BB35" s="301"/>
      <c r="BC35" s="478"/>
      <c r="BD35" s="327" t="s">
        <v>431</v>
      </c>
      <c r="BE35" s="328" t="s">
        <v>432</v>
      </c>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c r="CT35" s="448"/>
      <c r="CU35" s="448"/>
      <c r="CV35" s="448"/>
      <c r="CW35" s="448"/>
      <c r="CX35" s="448"/>
      <c r="CY35" s="448"/>
      <c r="CZ35" s="448"/>
      <c r="DA35" s="448"/>
      <c r="DB35" s="422"/>
      <c r="DC35" s="292"/>
      <c r="DD35" s="292"/>
      <c r="DE35" s="292"/>
      <c r="DF35" s="292"/>
      <c r="DG35" s="292"/>
      <c r="DH35" s="292"/>
      <c r="DI35" s="292"/>
      <c r="DJ35" s="292"/>
      <c r="DK35" s="292"/>
      <c r="DL35" s="292"/>
      <c r="DM35" s="292"/>
      <c r="DN35" s="292"/>
      <c r="DO35" s="292"/>
      <c r="DP35" s="292"/>
      <c r="DQ35" s="292"/>
    </row>
    <row r="36" spans="1:121" ht="2.25" customHeight="1">
      <c r="A36" s="291"/>
      <c r="B36" s="291"/>
      <c r="C36" s="289"/>
      <c r="D36" s="856"/>
      <c r="E36" s="637"/>
      <c r="F36" s="637"/>
      <c r="G36" s="637"/>
      <c r="H36" s="637"/>
      <c r="I36" s="637"/>
      <c r="J36" s="637"/>
      <c r="K36" s="849"/>
      <c r="L36" s="850"/>
      <c r="M36" s="850"/>
      <c r="N36" s="851"/>
      <c r="O36" s="637"/>
      <c r="P36" s="637"/>
      <c r="Q36" s="637"/>
      <c r="R36" s="637"/>
      <c r="S36" s="637"/>
      <c r="T36" s="637"/>
      <c r="U36" s="637"/>
      <c r="V36" s="637"/>
      <c r="W36" s="637"/>
      <c r="X36" s="637"/>
      <c r="Y36" s="637"/>
      <c r="Z36" s="637"/>
      <c r="AA36" s="304"/>
      <c r="AB36" s="303"/>
      <c r="AC36" s="303"/>
      <c r="AD36" s="623"/>
      <c r="AE36" s="633"/>
      <c r="AF36" s="633"/>
      <c r="AG36" s="301"/>
      <c r="AH36" s="476"/>
      <c r="AI36" s="476"/>
      <c r="AJ36" s="476"/>
      <c r="AK36" s="305"/>
      <c r="AL36" s="480"/>
      <c r="AM36" s="636"/>
      <c r="AN36" s="636"/>
      <c r="AO36" s="636"/>
      <c r="AP36" s="636"/>
      <c r="AQ36" s="636"/>
      <c r="AR36" s="636"/>
      <c r="AS36" s="636"/>
      <c r="AT36" s="636"/>
      <c r="AU36" s="636"/>
      <c r="AV36" s="636"/>
      <c r="AW36" s="636"/>
      <c r="AX36" s="636"/>
      <c r="AY36" s="636"/>
      <c r="AZ36" s="633"/>
      <c r="BA36" s="633"/>
      <c r="BB36" s="301"/>
      <c r="BC36" s="478"/>
      <c r="BF36" s="99"/>
      <c r="BG36" s="99"/>
      <c r="BH36" s="99"/>
      <c r="BI36" s="116"/>
      <c r="BJ36" s="116"/>
      <c r="BK36" s="116"/>
      <c r="BL36" s="116"/>
      <c r="BM36" s="116"/>
      <c r="BN36" s="116"/>
      <c r="BO36" s="116"/>
      <c r="BP36" s="116"/>
      <c r="BQ36" s="116"/>
      <c r="BR36" s="116"/>
      <c r="BS36" s="116"/>
      <c r="BT36" s="116"/>
      <c r="BU36" s="116"/>
      <c r="BV36" s="116"/>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422"/>
      <c r="DC36" s="292"/>
      <c r="DD36" s="292"/>
      <c r="DE36" s="292"/>
      <c r="DF36" s="292"/>
      <c r="DG36" s="292"/>
      <c r="DH36" s="292"/>
      <c r="DI36" s="292"/>
      <c r="DJ36" s="292"/>
      <c r="DK36" s="292"/>
      <c r="DL36" s="292"/>
      <c r="DM36" s="292"/>
      <c r="DN36" s="292"/>
      <c r="DO36" s="292"/>
      <c r="DP36" s="292"/>
      <c r="DQ36" s="292"/>
    </row>
    <row r="37" spans="1:121" ht="28.5" customHeight="1">
      <c r="A37" s="291"/>
      <c r="B37" s="291"/>
      <c r="C37" s="289"/>
      <c r="D37" s="857"/>
      <c r="E37" s="637"/>
      <c r="F37" s="637"/>
      <c r="G37" s="637"/>
      <c r="H37" s="637"/>
      <c r="I37" s="637"/>
      <c r="J37" s="637"/>
      <c r="K37" s="852"/>
      <c r="L37" s="853"/>
      <c r="M37" s="853"/>
      <c r="N37" s="854"/>
      <c r="O37" s="637"/>
      <c r="P37" s="637"/>
      <c r="Q37" s="637"/>
      <c r="R37" s="637"/>
      <c r="S37" s="637"/>
      <c r="T37" s="637"/>
      <c r="U37" s="858" t="str">
        <f>D15&amp;" (W3,7)"</f>
        <v>Activités de fabrication (divisions 10 à 33 de la CITI) (W3,7)</v>
      </c>
      <c r="V37" s="859"/>
      <c r="W37" s="859"/>
      <c r="X37" s="859"/>
      <c r="Y37" s="859"/>
      <c r="Z37" s="859"/>
      <c r="AA37" s="859"/>
      <c r="AB37" s="860"/>
      <c r="AC37" s="303"/>
      <c r="AD37" s="623"/>
      <c r="AE37" s="633"/>
      <c r="AF37" s="633"/>
      <c r="AG37" s="301"/>
      <c r="AH37" s="476"/>
      <c r="AI37" s="476"/>
      <c r="AJ37" s="476"/>
      <c r="AK37" s="305"/>
      <c r="AL37" s="480"/>
      <c r="AM37" s="636"/>
      <c r="AN37" s="636"/>
      <c r="AO37" s="636"/>
      <c r="AP37" s="636"/>
      <c r="AQ37" s="636"/>
      <c r="AR37" s="636"/>
      <c r="AS37" s="636"/>
      <c r="AT37" s="636"/>
      <c r="AU37" s="636"/>
      <c r="AV37" s="636"/>
      <c r="AW37" s="636"/>
      <c r="AX37" s="636"/>
      <c r="AY37" s="636"/>
      <c r="AZ37" s="633"/>
      <c r="BA37" s="633"/>
      <c r="BB37" s="301"/>
      <c r="BC37" s="478"/>
      <c r="BD37" s="329" t="s">
        <v>434</v>
      </c>
      <c r="BE37" s="328" t="s">
        <v>436</v>
      </c>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48"/>
      <c r="CO37" s="448"/>
      <c r="CP37" s="448"/>
      <c r="CQ37" s="448"/>
      <c r="CR37" s="448"/>
      <c r="CS37" s="448"/>
      <c r="CT37" s="448"/>
      <c r="CU37" s="448"/>
      <c r="CV37" s="448"/>
      <c r="CW37" s="448"/>
      <c r="CX37" s="448"/>
      <c r="CY37" s="448"/>
      <c r="CZ37" s="448"/>
      <c r="DA37" s="448"/>
      <c r="DB37" s="422"/>
      <c r="DC37" s="292"/>
      <c r="DD37" s="292"/>
      <c r="DE37" s="292"/>
      <c r="DF37" s="292"/>
      <c r="DG37" s="292"/>
      <c r="DH37" s="292"/>
      <c r="DI37" s="292"/>
      <c r="DJ37" s="292"/>
      <c r="DK37" s="292"/>
      <c r="DL37" s="292"/>
      <c r="DM37" s="292"/>
      <c r="DN37" s="292"/>
      <c r="DO37" s="292"/>
      <c r="DP37" s="292"/>
      <c r="DQ37" s="292"/>
    </row>
    <row r="38" spans="1:121" ht="2.25" customHeight="1">
      <c r="A38" s="291"/>
      <c r="B38" s="291"/>
      <c r="C38" s="289"/>
      <c r="D38" s="301"/>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633"/>
      <c r="AF38" s="633"/>
      <c r="AG38" s="301"/>
      <c r="AH38" s="476"/>
      <c r="AI38" s="476"/>
      <c r="AJ38" s="476"/>
      <c r="AK38" s="305"/>
      <c r="AL38" s="480"/>
      <c r="AM38" s="636"/>
      <c r="AN38" s="636"/>
      <c r="AO38" s="636"/>
      <c r="AP38" s="636"/>
      <c r="AQ38" s="636"/>
      <c r="AR38" s="636"/>
      <c r="AS38" s="636"/>
      <c r="AT38" s="636"/>
      <c r="AU38" s="636"/>
      <c r="AV38" s="636"/>
      <c r="AW38" s="636"/>
      <c r="AX38" s="636"/>
      <c r="AY38" s="636"/>
      <c r="AZ38" s="633"/>
      <c r="BA38" s="633"/>
      <c r="BB38" s="301"/>
      <c r="BC38" s="478"/>
      <c r="BD38" s="99"/>
      <c r="BE38" s="482"/>
      <c r="BF38" s="99"/>
      <c r="BG38" s="99"/>
      <c r="BH38" s="99"/>
      <c r="BI38" s="116"/>
      <c r="BJ38" s="116"/>
      <c r="BK38" s="116"/>
      <c r="BL38" s="116"/>
      <c r="BM38" s="116"/>
      <c r="BN38" s="116"/>
      <c r="BO38" s="116"/>
      <c r="BP38" s="116"/>
      <c r="BQ38" s="116"/>
      <c r="BR38" s="116"/>
      <c r="BS38" s="116"/>
      <c r="BT38" s="116"/>
      <c r="BU38" s="116"/>
      <c r="BV38" s="116"/>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422"/>
      <c r="DC38" s="292"/>
      <c r="DD38" s="292"/>
      <c r="DE38" s="292"/>
      <c r="DF38" s="292"/>
      <c r="DG38" s="292"/>
      <c r="DH38" s="292"/>
      <c r="DI38" s="292"/>
      <c r="DJ38" s="292"/>
      <c r="DK38" s="292"/>
      <c r="DL38" s="292"/>
      <c r="DM38" s="292"/>
      <c r="DN38" s="292"/>
      <c r="DO38" s="292"/>
      <c r="DP38" s="292"/>
      <c r="DQ38" s="292"/>
    </row>
    <row r="39" spans="1:121" ht="36.75" customHeight="1">
      <c r="A39" s="291"/>
      <c r="B39" s="291"/>
      <c r="C39" s="289"/>
      <c r="D39" s="301"/>
      <c r="E39" s="304"/>
      <c r="F39" s="304"/>
      <c r="G39" s="304"/>
      <c r="H39" s="304"/>
      <c r="I39" s="304"/>
      <c r="J39" s="304"/>
      <c r="K39" s="304"/>
      <c r="L39" s="304"/>
      <c r="M39" s="304"/>
      <c r="N39" s="304"/>
      <c r="O39" s="304"/>
      <c r="P39" s="304"/>
      <c r="Q39" s="304"/>
      <c r="R39" s="304"/>
      <c r="S39" s="304"/>
      <c r="T39" s="304"/>
      <c r="U39" s="858" t="str">
        <f>D16&amp;" (W3,8)"</f>
        <v>Production et distribution d’électricité, de gaz, de vapeur et climatisation (division 35 de la CITI) (W3,8)</v>
      </c>
      <c r="V39" s="859"/>
      <c r="W39" s="859"/>
      <c r="X39" s="859"/>
      <c r="Y39" s="859"/>
      <c r="Z39" s="859"/>
      <c r="AA39" s="859"/>
      <c r="AB39" s="860"/>
      <c r="AC39" s="304"/>
      <c r="AD39" s="304"/>
      <c r="AE39" s="633"/>
      <c r="AF39" s="633"/>
      <c r="AG39" s="301"/>
      <c r="AH39" s="476"/>
      <c r="AI39" s="476"/>
      <c r="AJ39" s="476"/>
      <c r="AK39" s="305"/>
      <c r="AL39" s="480"/>
      <c r="AM39" s="636"/>
      <c r="AN39" s="636"/>
      <c r="AO39" s="636"/>
      <c r="AP39" s="636"/>
      <c r="AQ39" s="636"/>
      <c r="AR39" s="636"/>
      <c r="AS39" s="636"/>
      <c r="AT39" s="636"/>
      <c r="AU39" s="636"/>
      <c r="AV39" s="636"/>
      <c r="AW39" s="636"/>
      <c r="AX39" s="636"/>
      <c r="AY39" s="636"/>
      <c r="AZ39" s="633"/>
      <c r="BA39" s="633"/>
      <c r="BB39" s="301"/>
      <c r="BC39" s="478"/>
      <c r="BD39" s="329" t="s">
        <v>433</v>
      </c>
      <c r="BE39" s="328" t="s">
        <v>395</v>
      </c>
      <c r="BF39" s="99"/>
      <c r="BG39" s="99"/>
      <c r="BH39" s="99"/>
      <c r="BI39" s="116"/>
      <c r="BJ39" s="116"/>
      <c r="BK39" s="116"/>
      <c r="BL39" s="116"/>
      <c r="BM39" s="116"/>
      <c r="BN39" s="116"/>
      <c r="BO39" s="116"/>
      <c r="BP39" s="116"/>
      <c r="BQ39" s="116"/>
      <c r="BR39" s="116"/>
      <c r="BS39" s="116"/>
      <c r="BT39" s="116"/>
      <c r="BU39" s="116"/>
      <c r="BV39" s="116"/>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422"/>
      <c r="DC39" s="292"/>
      <c r="DD39" s="292"/>
      <c r="DE39" s="292"/>
      <c r="DF39" s="292"/>
      <c r="DG39" s="292"/>
      <c r="DH39" s="292"/>
      <c r="DI39" s="292"/>
      <c r="DJ39" s="292"/>
      <c r="DK39" s="292"/>
      <c r="DL39" s="292"/>
      <c r="DM39" s="292"/>
      <c r="DN39" s="292"/>
      <c r="DO39" s="292"/>
      <c r="DP39" s="292"/>
      <c r="DQ39" s="292"/>
    </row>
    <row r="40" spans="1:121" ht="2.25" customHeight="1">
      <c r="A40" s="291"/>
      <c r="B40" s="291"/>
      <c r="C40" s="289"/>
      <c r="D40" s="301"/>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633"/>
      <c r="AF40" s="633"/>
      <c r="AG40" s="301"/>
      <c r="AH40" s="476"/>
      <c r="AI40" s="476"/>
      <c r="AJ40" s="476"/>
      <c r="AK40" s="305"/>
      <c r="AL40" s="480"/>
      <c r="AM40" s="636"/>
      <c r="AN40" s="636"/>
      <c r="AO40" s="636"/>
      <c r="AP40" s="636"/>
      <c r="AQ40" s="636"/>
      <c r="AR40" s="636"/>
      <c r="AS40" s="636"/>
      <c r="AT40" s="636"/>
      <c r="AU40" s="636"/>
      <c r="AV40" s="636"/>
      <c r="AW40" s="636"/>
      <c r="AX40" s="636"/>
      <c r="AY40" s="636"/>
      <c r="AZ40" s="633"/>
      <c r="BA40" s="633"/>
      <c r="BB40" s="301"/>
      <c r="BC40" s="478"/>
      <c r="BF40" s="99"/>
      <c r="BG40" s="99"/>
      <c r="BH40" s="99"/>
      <c r="BI40" s="116"/>
      <c r="BJ40" s="116"/>
      <c r="BK40" s="116"/>
      <c r="BL40" s="116"/>
      <c r="BM40" s="116"/>
      <c r="BN40" s="116"/>
      <c r="BO40" s="116"/>
      <c r="BP40" s="116"/>
      <c r="BQ40" s="116"/>
      <c r="BR40" s="116"/>
      <c r="BS40" s="116"/>
      <c r="BT40" s="116"/>
      <c r="BU40" s="116"/>
      <c r="BV40" s="116"/>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422"/>
      <c r="DC40" s="292"/>
      <c r="DD40" s="292"/>
      <c r="DE40" s="292"/>
      <c r="DF40" s="292"/>
      <c r="DG40" s="292"/>
      <c r="DH40" s="292"/>
      <c r="DI40" s="292"/>
      <c r="DJ40" s="292"/>
      <c r="DK40" s="292"/>
      <c r="DL40" s="292"/>
      <c r="DM40" s="292"/>
      <c r="DN40" s="292"/>
      <c r="DO40" s="292"/>
      <c r="DP40" s="292"/>
      <c r="DQ40" s="292"/>
    </row>
    <row r="41" spans="1:121" ht="33.75" customHeight="1">
      <c r="A41" s="291"/>
      <c r="B41" s="291"/>
      <c r="C41" s="289"/>
      <c r="D41" s="301"/>
      <c r="E41" s="304"/>
      <c r="F41" s="304"/>
      <c r="G41" s="304"/>
      <c r="H41" s="304"/>
      <c r="I41" s="304"/>
      <c r="J41" s="304"/>
      <c r="K41" s="304"/>
      <c r="L41" s="304"/>
      <c r="M41" s="304"/>
      <c r="N41" s="304"/>
      <c r="O41" s="304"/>
      <c r="P41" s="304"/>
      <c r="Q41" s="304"/>
      <c r="R41" s="304"/>
      <c r="S41" s="304"/>
      <c r="T41" s="304"/>
      <c r="U41" s="858" t="str">
        <f>D18&amp;" (W3,10)"</f>
        <v>Construction (divisions 41 à 43 de la CITI) (W3,10)</v>
      </c>
      <c r="V41" s="859"/>
      <c r="W41" s="859"/>
      <c r="X41" s="859"/>
      <c r="Y41" s="859"/>
      <c r="Z41" s="859"/>
      <c r="AA41" s="859"/>
      <c r="AB41" s="860"/>
      <c r="AC41" s="304"/>
      <c r="AD41" s="304"/>
      <c r="AE41" s="633"/>
      <c r="AF41" s="633"/>
      <c r="AG41" s="301"/>
      <c r="AH41" s="476"/>
      <c r="AI41" s="476"/>
      <c r="AJ41" s="476"/>
      <c r="AK41" s="305"/>
      <c r="AL41" s="302"/>
      <c r="AM41" s="625"/>
      <c r="AN41" s="635"/>
      <c r="AO41" s="635"/>
      <c r="AP41" s="635"/>
      <c r="AQ41" s="635"/>
      <c r="AR41" s="635"/>
      <c r="AS41" s="635"/>
      <c r="AT41" s="635"/>
      <c r="AU41" s="635"/>
      <c r="AV41" s="635"/>
      <c r="AW41" s="635"/>
      <c r="AX41" s="635"/>
      <c r="AY41" s="635"/>
      <c r="AZ41" s="635"/>
      <c r="BA41" s="635"/>
      <c r="BB41" s="301"/>
      <c r="BC41" s="478"/>
      <c r="BD41" s="329" t="s">
        <v>434</v>
      </c>
      <c r="BE41" s="328" t="s">
        <v>436</v>
      </c>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99"/>
      <c r="DC41" s="292"/>
      <c r="DD41" s="292"/>
      <c r="DE41" s="292"/>
      <c r="DF41" s="292"/>
      <c r="DG41" s="292"/>
      <c r="DH41" s="292"/>
      <c r="DI41" s="292"/>
      <c r="DJ41" s="292"/>
      <c r="DK41" s="292"/>
      <c r="DL41" s="292"/>
      <c r="DM41" s="292"/>
      <c r="DN41" s="292"/>
      <c r="DO41" s="292"/>
      <c r="DP41" s="292"/>
      <c r="DQ41" s="292"/>
    </row>
    <row r="42" spans="1:121" ht="2.25" customHeight="1">
      <c r="A42" s="291"/>
      <c r="B42" s="291"/>
      <c r="C42" s="289"/>
      <c r="D42" s="301"/>
      <c r="E42" s="846" t="str">
        <f>D9&amp;" (W3, 2)"</f>
        <v>Pertes au cours du transport par CITI 36 (W3, 2)</v>
      </c>
      <c r="F42" s="866"/>
      <c r="G42" s="866"/>
      <c r="H42" s="867"/>
      <c r="I42" s="304"/>
      <c r="J42" s="304"/>
      <c r="K42" s="304"/>
      <c r="L42" s="304"/>
      <c r="M42" s="304"/>
      <c r="N42" s="304"/>
      <c r="O42" s="304"/>
      <c r="P42" s="304"/>
      <c r="Q42" s="304"/>
      <c r="R42" s="304"/>
      <c r="S42" s="304"/>
      <c r="T42" s="304"/>
      <c r="U42" s="304"/>
      <c r="V42" s="304"/>
      <c r="W42" s="304"/>
      <c r="X42" s="477"/>
      <c r="Y42" s="302"/>
      <c r="Z42" s="302"/>
      <c r="AA42" s="638"/>
      <c r="AB42" s="638"/>
      <c r="AC42" s="638"/>
      <c r="AD42" s="638"/>
      <c r="AE42" s="633"/>
      <c r="AF42" s="633"/>
      <c r="AG42" s="301"/>
      <c r="AH42" s="301"/>
      <c r="AI42" s="301"/>
      <c r="AJ42" s="301"/>
      <c r="AK42" s="305"/>
      <c r="AL42" s="480"/>
      <c r="AM42" s="636"/>
      <c r="AN42" s="636"/>
      <c r="AO42" s="636"/>
      <c r="AP42" s="636"/>
      <c r="AQ42" s="636"/>
      <c r="AR42" s="636"/>
      <c r="AS42" s="636"/>
      <c r="AT42" s="636"/>
      <c r="AU42" s="636"/>
      <c r="AV42" s="636"/>
      <c r="AW42" s="636"/>
      <c r="AX42" s="636"/>
      <c r="AY42" s="636"/>
      <c r="AZ42" s="633"/>
      <c r="BA42" s="633"/>
      <c r="BB42" s="301"/>
      <c r="BC42" s="478"/>
      <c r="BD42" s="99"/>
      <c r="BE42" s="482"/>
      <c r="BF42" s="99"/>
      <c r="BG42" s="99"/>
      <c r="BH42" s="99"/>
      <c r="BI42" s="116"/>
      <c r="BJ42" s="116"/>
      <c r="BK42" s="116"/>
      <c r="BL42" s="116"/>
      <c r="BM42" s="116"/>
      <c r="BN42" s="116"/>
      <c r="BO42" s="116"/>
      <c r="BP42" s="116"/>
      <c r="BQ42" s="116"/>
      <c r="BR42" s="116"/>
      <c r="BS42" s="116"/>
      <c r="BT42" s="116"/>
      <c r="BU42" s="116"/>
      <c r="BV42" s="116"/>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422"/>
      <c r="DC42" s="292"/>
      <c r="DD42" s="292"/>
      <c r="DE42" s="292"/>
      <c r="DF42" s="292"/>
      <c r="DG42" s="292"/>
      <c r="DH42" s="292"/>
      <c r="DI42" s="292"/>
      <c r="DJ42" s="292"/>
      <c r="DK42" s="292"/>
      <c r="DL42" s="292"/>
      <c r="DM42" s="292"/>
      <c r="DN42" s="292"/>
      <c r="DO42" s="292"/>
      <c r="DP42" s="292"/>
      <c r="DQ42" s="292"/>
    </row>
    <row r="43" spans="1:121" ht="44.25" customHeight="1">
      <c r="A43" s="291"/>
      <c r="B43" s="291"/>
      <c r="C43" s="289"/>
      <c r="D43" s="301"/>
      <c r="E43" s="822"/>
      <c r="F43" s="823"/>
      <c r="G43" s="823"/>
      <c r="H43" s="824"/>
      <c r="I43" s="304"/>
      <c r="J43" s="304"/>
      <c r="K43" s="304"/>
      <c r="L43" s="304"/>
      <c r="M43" s="304"/>
      <c r="N43" s="304"/>
      <c r="O43" s="304"/>
      <c r="P43" s="304"/>
      <c r="Q43" s="304"/>
      <c r="R43" s="304"/>
      <c r="S43" s="304"/>
      <c r="T43" s="304"/>
      <c r="U43" s="858" t="str">
        <f>D19&amp;" (W3,11)"</f>
        <v>Autres activités économiques (W3,11)</v>
      </c>
      <c r="V43" s="859"/>
      <c r="W43" s="859"/>
      <c r="X43" s="859"/>
      <c r="Y43" s="859"/>
      <c r="Z43" s="859"/>
      <c r="AA43" s="859"/>
      <c r="AB43" s="860"/>
      <c r="AC43" s="638"/>
      <c r="AD43" s="638"/>
      <c r="AE43" s="633"/>
      <c r="AF43" s="633"/>
      <c r="AG43" s="301"/>
      <c r="AH43" s="301"/>
      <c r="AI43" s="301"/>
      <c r="AJ43" s="301"/>
      <c r="AK43" s="305"/>
      <c r="AL43" s="302"/>
      <c r="AM43" s="625"/>
      <c r="AN43" s="635"/>
      <c r="AO43" s="635"/>
      <c r="AP43" s="635"/>
      <c r="AQ43" s="635"/>
      <c r="AR43" s="635"/>
      <c r="AS43" s="635"/>
      <c r="AT43" s="635"/>
      <c r="AU43" s="635"/>
      <c r="AV43" s="635"/>
      <c r="AW43" s="635"/>
      <c r="AX43" s="635"/>
      <c r="AY43" s="635"/>
      <c r="AZ43" s="635"/>
      <c r="BA43" s="635"/>
      <c r="BB43" s="301"/>
      <c r="BC43" s="478"/>
      <c r="BD43" s="329" t="s">
        <v>433</v>
      </c>
      <c r="BE43" s="328" t="s">
        <v>395</v>
      </c>
      <c r="BF43" s="99"/>
      <c r="BG43" s="99"/>
      <c r="BH43" s="99"/>
      <c r="BI43" s="116"/>
      <c r="BJ43" s="116"/>
      <c r="BK43" s="116"/>
      <c r="BL43" s="116"/>
      <c r="BM43" s="116"/>
      <c r="BN43" s="116"/>
      <c r="BO43" s="116"/>
      <c r="BP43" s="116"/>
      <c r="BQ43" s="116"/>
      <c r="BR43" s="116"/>
      <c r="BS43" s="116"/>
      <c r="BT43" s="116"/>
      <c r="BU43" s="116"/>
      <c r="BV43" s="116"/>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422"/>
      <c r="DC43" s="292"/>
      <c r="DD43" s="292"/>
      <c r="DE43" s="292"/>
      <c r="DF43" s="292"/>
      <c r="DG43" s="292"/>
      <c r="DH43" s="292"/>
      <c r="DI43" s="292"/>
      <c r="DJ43" s="292"/>
      <c r="DK43" s="292"/>
      <c r="DL43" s="292"/>
      <c r="DM43" s="292"/>
      <c r="DN43" s="292"/>
      <c r="DO43" s="292"/>
      <c r="DP43" s="292"/>
      <c r="DQ43" s="292"/>
    </row>
    <row r="44" spans="1:106" s="190" customFormat="1" ht="18" customHeight="1">
      <c r="A44" s="179"/>
      <c r="B44" s="180"/>
      <c r="C44" s="410"/>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4"/>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row>
    <row r="45" spans="1:106" s="447" customFormat="1" ht="15.75">
      <c r="A45" s="446"/>
      <c r="B45" s="428">
        <v>2</v>
      </c>
      <c r="C45" s="411" t="s">
        <v>308</v>
      </c>
      <c r="D45" s="412"/>
      <c r="E45" s="411"/>
      <c r="F45" s="210"/>
      <c r="G45" s="210"/>
      <c r="H45" s="413"/>
      <c r="I45" s="414"/>
      <c r="J45" s="414"/>
      <c r="K45" s="414"/>
      <c r="L45" s="414"/>
      <c r="M45" s="414"/>
      <c r="N45" s="414"/>
      <c r="O45" s="414"/>
      <c r="P45" s="415"/>
      <c r="Q45" s="414"/>
      <c r="R45" s="415"/>
      <c r="S45" s="414"/>
      <c r="T45" s="415"/>
      <c r="U45" s="414"/>
      <c r="V45" s="415"/>
      <c r="W45" s="414"/>
      <c r="X45" s="413"/>
      <c r="Y45" s="414"/>
      <c r="Z45" s="413"/>
      <c r="AA45" s="414"/>
      <c r="AB45" s="413"/>
      <c r="AC45" s="414"/>
      <c r="AD45" s="413"/>
      <c r="AE45" s="414"/>
      <c r="AF45" s="413"/>
      <c r="AG45" s="416"/>
      <c r="AH45" s="413"/>
      <c r="AI45" s="414"/>
      <c r="AJ45" s="415"/>
      <c r="AK45" s="414"/>
      <c r="AL45" s="413"/>
      <c r="AM45" s="414"/>
      <c r="AN45" s="413"/>
      <c r="AO45" s="414"/>
      <c r="AP45" s="414"/>
      <c r="AQ45" s="414"/>
      <c r="AR45" s="414"/>
      <c r="AS45" s="414"/>
      <c r="AT45" s="367"/>
      <c r="AU45" s="366"/>
      <c r="AV45" s="414"/>
      <c r="AW45" s="414"/>
      <c r="AX45" s="367"/>
      <c r="AY45" s="366"/>
      <c r="AZ45" s="367"/>
      <c r="BA45" s="366"/>
      <c r="BB45" s="453"/>
      <c r="BC45" s="213"/>
      <c r="BD45" s="612"/>
      <c r="BE45" s="612"/>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191"/>
    </row>
    <row r="46" spans="3:56" ht="2.25" customHeight="1">
      <c r="C46" s="417"/>
      <c r="D46" s="417"/>
      <c r="E46" s="418"/>
      <c r="F46" s="353"/>
      <c r="G46" s="353"/>
      <c r="H46" s="349"/>
      <c r="I46" s="350"/>
      <c r="J46" s="350"/>
      <c r="K46" s="350"/>
      <c r="L46" s="350"/>
      <c r="M46" s="350"/>
      <c r="N46" s="350"/>
      <c r="O46" s="350"/>
      <c r="P46" s="351"/>
      <c r="Q46" s="350"/>
      <c r="R46" s="351"/>
      <c r="S46" s="350"/>
      <c r="T46" s="351"/>
      <c r="U46" s="350"/>
      <c r="V46" s="351"/>
      <c r="W46" s="350"/>
      <c r="X46" s="349"/>
      <c r="Y46" s="350"/>
      <c r="Z46" s="349"/>
      <c r="AA46" s="350"/>
      <c r="AB46" s="349"/>
      <c r="AC46" s="350"/>
      <c r="AD46" s="349"/>
      <c r="AE46" s="350"/>
      <c r="AF46" s="349"/>
      <c r="AG46" s="419"/>
      <c r="AH46" s="349"/>
      <c r="AI46" s="350"/>
      <c r="AJ46" s="351"/>
      <c r="AK46" s="350"/>
      <c r="AL46" s="349"/>
      <c r="AM46" s="352"/>
      <c r="AN46" s="347"/>
      <c r="AO46" s="352"/>
      <c r="AP46" s="352"/>
      <c r="AQ46" s="352"/>
      <c r="AR46" s="352"/>
      <c r="AS46" s="352"/>
      <c r="AV46" s="352"/>
      <c r="AW46" s="352"/>
      <c r="BD46" s="485"/>
    </row>
    <row r="47" spans="3:56" ht="18" customHeight="1">
      <c r="C47" s="324" t="s">
        <v>550</v>
      </c>
      <c r="D47" s="486" t="s">
        <v>309</v>
      </c>
      <c r="E47" s="487"/>
      <c r="F47" s="488"/>
      <c r="G47" s="488"/>
      <c r="H47" s="489"/>
      <c r="I47" s="490"/>
      <c r="J47" s="490"/>
      <c r="K47" s="490"/>
      <c r="L47" s="490"/>
      <c r="M47" s="490"/>
      <c r="N47" s="490"/>
      <c r="O47" s="490"/>
      <c r="P47" s="491"/>
      <c r="Q47" s="490"/>
      <c r="R47" s="491"/>
      <c r="S47" s="490"/>
      <c r="T47" s="491"/>
      <c r="U47" s="490"/>
      <c r="V47" s="491"/>
      <c r="W47" s="490"/>
      <c r="X47" s="489"/>
      <c r="Y47" s="490"/>
      <c r="Z47" s="489"/>
      <c r="AA47" s="490"/>
      <c r="AB47" s="489"/>
      <c r="AC47" s="490"/>
      <c r="AD47" s="489"/>
      <c r="AE47" s="490"/>
      <c r="AF47" s="489"/>
      <c r="AG47" s="492"/>
      <c r="AH47" s="489"/>
      <c r="AI47" s="490"/>
      <c r="AJ47" s="491"/>
      <c r="AK47" s="490"/>
      <c r="AL47" s="489"/>
      <c r="AM47" s="490"/>
      <c r="AN47" s="489"/>
      <c r="AO47" s="490"/>
      <c r="AP47" s="490"/>
      <c r="AQ47" s="490"/>
      <c r="AR47" s="490"/>
      <c r="AS47" s="490"/>
      <c r="AT47" s="489"/>
      <c r="AU47" s="490"/>
      <c r="AV47" s="490"/>
      <c r="AW47" s="490"/>
      <c r="AX47" s="489"/>
      <c r="AY47" s="490"/>
      <c r="AZ47" s="489"/>
      <c r="BA47" s="490"/>
      <c r="BB47" s="493"/>
      <c r="BC47" s="448"/>
      <c r="BD47" s="485"/>
    </row>
    <row r="48" spans="3:56" ht="18" customHeight="1">
      <c r="C48" s="580"/>
      <c r="D48" s="803"/>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5"/>
      <c r="BC48" s="494"/>
      <c r="BD48" s="485"/>
    </row>
    <row r="49" spans="3:56" ht="18" customHeight="1">
      <c r="C49" s="580"/>
      <c r="D49" s="797"/>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8"/>
      <c r="AY49" s="798"/>
      <c r="AZ49" s="798"/>
      <c r="BA49" s="798"/>
      <c r="BB49" s="799"/>
      <c r="BC49" s="494"/>
      <c r="BD49" s="485"/>
    </row>
    <row r="50" spans="3:56" ht="18" customHeight="1">
      <c r="C50" s="580"/>
      <c r="D50" s="797"/>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8"/>
      <c r="AY50" s="798"/>
      <c r="AZ50" s="798"/>
      <c r="BA50" s="798"/>
      <c r="BB50" s="799"/>
      <c r="BC50" s="494"/>
      <c r="BD50" s="485"/>
    </row>
    <row r="51" spans="3:56" ht="18" customHeight="1">
      <c r="C51" s="580"/>
      <c r="D51" s="797"/>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AZ51" s="798"/>
      <c r="BA51" s="798"/>
      <c r="BB51" s="799"/>
      <c r="BC51" s="494"/>
      <c r="BD51" s="485"/>
    </row>
    <row r="52" spans="3:56" ht="18" customHeight="1">
      <c r="C52" s="58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AZ52" s="798"/>
      <c r="BA52" s="798"/>
      <c r="BB52" s="799"/>
      <c r="BC52" s="494"/>
      <c r="BD52" s="485"/>
    </row>
    <row r="53" spans="3:56" ht="18" customHeight="1">
      <c r="C53" s="58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AZ53" s="798"/>
      <c r="BA53" s="798"/>
      <c r="BB53" s="799"/>
      <c r="BC53" s="494"/>
      <c r="BD53" s="485"/>
    </row>
    <row r="54" spans="3:56" ht="18" customHeight="1">
      <c r="C54" s="58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9"/>
      <c r="BC54" s="494"/>
      <c r="BD54" s="485"/>
    </row>
    <row r="55" spans="3:56" ht="18" customHeight="1">
      <c r="C55" s="58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AZ55" s="798"/>
      <c r="BA55" s="798"/>
      <c r="BB55" s="799"/>
      <c r="BC55" s="494"/>
      <c r="BD55" s="485"/>
    </row>
    <row r="56" spans="3:106" ht="18" customHeight="1">
      <c r="C56" s="58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9"/>
      <c r="BC56" s="494"/>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c r="CO56" s="448"/>
      <c r="CP56" s="448"/>
      <c r="CQ56" s="448"/>
      <c r="CR56" s="448"/>
      <c r="CS56" s="448"/>
      <c r="CT56" s="448"/>
      <c r="CU56" s="448"/>
      <c r="CV56" s="448"/>
      <c r="CW56" s="448"/>
      <c r="CX56" s="448"/>
      <c r="CY56" s="448"/>
      <c r="CZ56" s="448"/>
      <c r="DA56" s="448"/>
      <c r="DB56" s="448"/>
    </row>
    <row r="57" spans="3:106" ht="18" customHeight="1">
      <c r="C57" s="580"/>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8"/>
      <c r="BA57" s="798"/>
      <c r="BB57" s="799"/>
      <c r="BC57" s="494"/>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s="448"/>
      <c r="CP57" s="448"/>
      <c r="CQ57" s="448"/>
      <c r="CR57" s="448"/>
      <c r="CS57" s="448"/>
      <c r="CT57" s="448"/>
      <c r="CU57" s="448"/>
      <c r="CV57" s="448"/>
      <c r="CW57" s="448"/>
      <c r="CX57" s="448"/>
      <c r="CY57" s="448"/>
      <c r="CZ57" s="448"/>
      <c r="DA57" s="448"/>
      <c r="DB57" s="448"/>
    </row>
    <row r="58" spans="3:106" ht="18" customHeight="1">
      <c r="C58" s="580"/>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9"/>
      <c r="BC58" s="494"/>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s="448"/>
      <c r="CP58" s="448"/>
      <c r="CQ58" s="448"/>
      <c r="CR58" s="448"/>
      <c r="CS58" s="448"/>
      <c r="CT58" s="448"/>
      <c r="CU58" s="448"/>
      <c r="CV58" s="448"/>
      <c r="CW58" s="448"/>
      <c r="CX58" s="448"/>
      <c r="CY58" s="448"/>
      <c r="CZ58" s="448"/>
      <c r="DA58" s="448"/>
      <c r="DB58" s="448"/>
    </row>
    <row r="59" spans="3:55" ht="18" customHeight="1">
      <c r="C59" s="580"/>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9"/>
      <c r="BC59" s="494"/>
    </row>
    <row r="60" spans="3:55" ht="18" customHeight="1">
      <c r="C60" s="580"/>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8"/>
      <c r="AY60" s="798"/>
      <c r="AZ60" s="798"/>
      <c r="BA60" s="798"/>
      <c r="BB60" s="799"/>
      <c r="BC60" s="494"/>
    </row>
    <row r="61" spans="3:55" ht="18" customHeight="1">
      <c r="C61" s="580"/>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8"/>
      <c r="AY61" s="798"/>
      <c r="AZ61" s="798"/>
      <c r="BA61" s="798"/>
      <c r="BB61" s="799"/>
      <c r="BC61" s="494"/>
    </row>
    <row r="62" spans="3:55" ht="18" customHeight="1">
      <c r="C62" s="580"/>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798"/>
      <c r="AY62" s="798"/>
      <c r="AZ62" s="798"/>
      <c r="BA62" s="798"/>
      <c r="BB62" s="799"/>
      <c r="BC62" s="494"/>
    </row>
    <row r="63" spans="3:55" ht="18" customHeight="1">
      <c r="C63" s="580"/>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8"/>
      <c r="AY63" s="798"/>
      <c r="AZ63" s="798"/>
      <c r="BA63" s="798"/>
      <c r="BB63" s="799"/>
      <c r="BC63" s="494"/>
    </row>
    <row r="64" spans="3:55" ht="18" customHeight="1">
      <c r="C64" s="580"/>
      <c r="D64" s="797"/>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8"/>
      <c r="AY64" s="798"/>
      <c r="AZ64" s="798"/>
      <c r="BA64" s="798"/>
      <c r="BB64" s="799"/>
      <c r="BC64" s="494"/>
    </row>
    <row r="65" spans="3:55" ht="18" customHeight="1">
      <c r="C65" s="580"/>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8"/>
      <c r="AY65" s="798"/>
      <c r="AZ65" s="798"/>
      <c r="BA65" s="798"/>
      <c r="BB65" s="799"/>
      <c r="BC65" s="494"/>
    </row>
    <row r="66" spans="3:55" ht="18" customHeight="1">
      <c r="C66" s="580"/>
      <c r="D66" s="797"/>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8"/>
      <c r="AY66" s="798"/>
      <c r="AZ66" s="798"/>
      <c r="BA66" s="798"/>
      <c r="BB66" s="799"/>
      <c r="BC66" s="494"/>
    </row>
    <row r="67" spans="3:55" ht="18" customHeight="1">
      <c r="C67" s="580"/>
      <c r="D67" s="797"/>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9"/>
      <c r="BC67" s="494"/>
    </row>
    <row r="68" spans="3:55" ht="18" customHeight="1">
      <c r="C68" s="580"/>
      <c r="D68" s="797"/>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9"/>
      <c r="BC68" s="494"/>
    </row>
    <row r="69" spans="3:55" ht="18" customHeight="1">
      <c r="C69" s="588"/>
      <c r="D69" s="800"/>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1"/>
      <c r="AY69" s="801"/>
      <c r="AZ69" s="801"/>
      <c r="BA69" s="801"/>
      <c r="BB69" s="802"/>
      <c r="BC69" s="494"/>
    </row>
    <row r="70" spans="1:106" s="292" customFormat="1" ht="10.5" customHeight="1">
      <c r="A70" s="495"/>
      <c r="B70" s="432"/>
      <c r="C70" s="447"/>
      <c r="D70" s="447"/>
      <c r="E70" s="193"/>
      <c r="F70" s="218"/>
      <c r="G70" s="218"/>
      <c r="H70" s="279"/>
      <c r="I70" s="280"/>
      <c r="J70" s="280"/>
      <c r="K70" s="280"/>
      <c r="L70" s="280"/>
      <c r="M70" s="280"/>
      <c r="N70" s="280"/>
      <c r="O70" s="280"/>
      <c r="P70" s="281"/>
      <c r="Q70" s="280"/>
      <c r="R70" s="281"/>
      <c r="S70" s="280"/>
      <c r="T70" s="281"/>
      <c r="U70" s="280"/>
      <c r="V70" s="281"/>
      <c r="W70" s="280"/>
      <c r="X70" s="279"/>
      <c r="Y70" s="280"/>
      <c r="Z70" s="279"/>
      <c r="AA70" s="280"/>
      <c r="AB70" s="279"/>
      <c r="AC70" s="280"/>
      <c r="AD70" s="279"/>
      <c r="AE70" s="280"/>
      <c r="AF70" s="279"/>
      <c r="AG70" s="496"/>
      <c r="AH70" s="279"/>
      <c r="AI70" s="280"/>
      <c r="AJ70" s="281"/>
      <c r="AK70" s="280"/>
      <c r="AL70" s="279"/>
      <c r="AM70" s="280"/>
      <c r="AN70" s="279"/>
      <c r="AO70" s="352"/>
      <c r="AP70" s="352"/>
      <c r="AQ70" s="352"/>
      <c r="AR70" s="352"/>
      <c r="AS70" s="352"/>
      <c r="AT70" s="347"/>
      <c r="AU70" s="352"/>
      <c r="AV70" s="352"/>
      <c r="AW70" s="352"/>
      <c r="AX70" s="347"/>
      <c r="AY70" s="352"/>
      <c r="AZ70" s="347"/>
      <c r="BA70" s="352"/>
      <c r="BC70" s="448"/>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row>
    <row r="71" spans="1:106" s="292" customFormat="1" ht="12.75">
      <c r="A71" s="495"/>
      <c r="B71" s="432"/>
      <c r="C71" s="447"/>
      <c r="D71" s="447"/>
      <c r="E71" s="193"/>
      <c r="F71" s="218"/>
      <c r="G71" s="218"/>
      <c r="H71" s="279"/>
      <c r="I71" s="280"/>
      <c r="J71" s="280"/>
      <c r="K71" s="280"/>
      <c r="L71" s="280"/>
      <c r="M71" s="280"/>
      <c r="N71" s="280"/>
      <c r="O71" s="280"/>
      <c r="P71" s="281"/>
      <c r="Q71" s="280"/>
      <c r="R71" s="281"/>
      <c r="S71" s="280"/>
      <c r="T71" s="281"/>
      <c r="U71" s="280"/>
      <c r="V71" s="281"/>
      <c r="W71" s="280"/>
      <c r="X71" s="279"/>
      <c r="Y71" s="280"/>
      <c r="Z71" s="279"/>
      <c r="AA71" s="280"/>
      <c r="AB71" s="279"/>
      <c r="AC71" s="280"/>
      <c r="AD71" s="279"/>
      <c r="AE71" s="280"/>
      <c r="AF71" s="279"/>
      <c r="AG71" s="280"/>
      <c r="AH71" s="279"/>
      <c r="AI71" s="280"/>
      <c r="AJ71" s="281"/>
      <c r="AK71" s="280"/>
      <c r="AL71" s="279"/>
      <c r="AM71" s="280"/>
      <c r="AN71" s="279"/>
      <c r="AO71" s="352"/>
      <c r="AP71" s="352"/>
      <c r="AQ71" s="352"/>
      <c r="AR71" s="352"/>
      <c r="AS71" s="352"/>
      <c r="AT71" s="347"/>
      <c r="AU71" s="352"/>
      <c r="AV71" s="352"/>
      <c r="AW71" s="352"/>
      <c r="AX71" s="347"/>
      <c r="AY71" s="352"/>
      <c r="AZ71" s="347"/>
      <c r="BA71" s="352"/>
      <c r="BC71" s="448"/>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row>
    <row r="72" spans="1:106" s="292" customFormat="1" ht="12.75">
      <c r="A72" s="495"/>
      <c r="B72" s="432"/>
      <c r="C72" s="447"/>
      <c r="D72" s="447"/>
      <c r="E72" s="193"/>
      <c r="F72" s="193"/>
      <c r="G72" s="193"/>
      <c r="H72" s="279"/>
      <c r="I72" s="280"/>
      <c r="J72" s="280"/>
      <c r="K72" s="280"/>
      <c r="L72" s="280"/>
      <c r="M72" s="280"/>
      <c r="N72" s="280"/>
      <c r="O72" s="280"/>
      <c r="P72" s="281"/>
      <c r="Q72" s="280"/>
      <c r="R72" s="281"/>
      <c r="S72" s="280"/>
      <c r="T72" s="281"/>
      <c r="U72" s="280"/>
      <c r="V72" s="281"/>
      <c r="W72" s="280"/>
      <c r="X72" s="279"/>
      <c r="Y72" s="280"/>
      <c r="Z72" s="279"/>
      <c r="AA72" s="280"/>
      <c r="AB72" s="279"/>
      <c r="AC72" s="280"/>
      <c r="AD72" s="279"/>
      <c r="AE72" s="280"/>
      <c r="AF72" s="279"/>
      <c r="AG72" s="280"/>
      <c r="AH72" s="279"/>
      <c r="AI72" s="280"/>
      <c r="AJ72" s="281"/>
      <c r="AK72" s="280"/>
      <c r="AL72" s="279"/>
      <c r="AM72" s="280"/>
      <c r="AN72" s="279"/>
      <c r="AO72" s="352"/>
      <c r="AP72" s="352"/>
      <c r="AQ72" s="352"/>
      <c r="AR72" s="352"/>
      <c r="AS72" s="352"/>
      <c r="AT72" s="347"/>
      <c r="AU72" s="352"/>
      <c r="AV72" s="352"/>
      <c r="AW72" s="352"/>
      <c r="AX72" s="347"/>
      <c r="AY72" s="352"/>
      <c r="AZ72" s="347"/>
      <c r="BA72" s="352"/>
      <c r="BC72" s="448"/>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row>
    <row r="73" spans="3:4" ht="12.75">
      <c r="C73" s="447"/>
      <c r="D73" s="447"/>
    </row>
    <row r="74" spans="3:40" ht="12.75">
      <c r="C74" s="425"/>
      <c r="D74" s="425"/>
      <c r="E74" s="425"/>
      <c r="F74" s="425"/>
      <c r="G74" s="425"/>
      <c r="H74" s="347"/>
      <c r="I74" s="352"/>
      <c r="J74" s="352"/>
      <c r="K74" s="352"/>
      <c r="L74" s="352"/>
      <c r="M74" s="352"/>
      <c r="N74" s="352"/>
      <c r="O74" s="352"/>
      <c r="P74" s="430"/>
      <c r="Q74" s="352"/>
      <c r="R74" s="430"/>
      <c r="S74" s="352"/>
      <c r="T74" s="430"/>
      <c r="U74" s="352"/>
      <c r="V74" s="430"/>
      <c r="W74" s="352"/>
      <c r="X74" s="347"/>
      <c r="Y74" s="352"/>
      <c r="Z74" s="347"/>
      <c r="AA74" s="352"/>
      <c r="AB74" s="347"/>
      <c r="AC74" s="352"/>
      <c r="AD74" s="347"/>
      <c r="AE74" s="352"/>
      <c r="AF74" s="347"/>
      <c r="AG74" s="352"/>
      <c r="AH74" s="347"/>
      <c r="AI74" s="352"/>
      <c r="AJ74" s="430"/>
      <c r="AK74" s="352"/>
      <c r="AL74" s="347"/>
      <c r="AM74" s="352"/>
      <c r="AN74" s="347"/>
    </row>
  </sheetData>
  <sheetProtection sheet="1" objects="1" scenarios="1" formatCells="0" formatColumns="0" formatRows="0" insertColumns="0"/>
  <mergeCells count="42">
    <mergeCell ref="D53:BB53"/>
    <mergeCell ref="U35:AB35"/>
    <mergeCell ref="U41:AB41"/>
    <mergeCell ref="BK3:BM3"/>
    <mergeCell ref="E42:H43"/>
    <mergeCell ref="D52:BB52"/>
    <mergeCell ref="D49:BB49"/>
    <mergeCell ref="D30:BB30"/>
    <mergeCell ref="D50:BB50"/>
    <mergeCell ref="D51:BB51"/>
    <mergeCell ref="BQ3:BS3"/>
    <mergeCell ref="C5:AN5"/>
    <mergeCell ref="D28:AU28"/>
    <mergeCell ref="D26:BB26"/>
    <mergeCell ref="AG6:AZ6"/>
    <mergeCell ref="D54:BB54"/>
    <mergeCell ref="D27:BB27"/>
    <mergeCell ref="D29:BB29"/>
    <mergeCell ref="U31:AB31"/>
    <mergeCell ref="U33:AB33"/>
    <mergeCell ref="D69:BB69"/>
    <mergeCell ref="D65:BB65"/>
    <mergeCell ref="D66:BB66"/>
    <mergeCell ref="D67:BB67"/>
    <mergeCell ref="D68:BB68"/>
    <mergeCell ref="D62:BB62"/>
    <mergeCell ref="D63:BB63"/>
    <mergeCell ref="D55:BB55"/>
    <mergeCell ref="D56:BB56"/>
    <mergeCell ref="D64:BB64"/>
    <mergeCell ref="D57:BB57"/>
    <mergeCell ref="D60:BB60"/>
    <mergeCell ref="D61:BB61"/>
    <mergeCell ref="D58:BB58"/>
    <mergeCell ref="D59:BB59"/>
    <mergeCell ref="D48:BB48"/>
    <mergeCell ref="K32:N37"/>
    <mergeCell ref="D33:D37"/>
    <mergeCell ref="U37:AB37"/>
    <mergeCell ref="U39:AB39"/>
    <mergeCell ref="O31:R33"/>
    <mergeCell ref="U43:AB43"/>
  </mergeCells>
  <conditionalFormatting sqref="F10">
    <cfRule type="cellIs" priority="57" dxfId="366" operator="lessThan" stopIfTrue="1">
      <formula>F8-F9-(0.01*(F8-F9))</formula>
    </cfRule>
    <cfRule type="cellIs" priority="58" dxfId="366" operator="lessThan" stopIfTrue="1">
      <formula>F12+F13+F15+F16+F19-(0.01*(F12+F13+F15+F16+F19))</formula>
    </cfRule>
  </conditionalFormatting>
  <conditionalFormatting sqref="H10">
    <cfRule type="cellIs" priority="55" dxfId="366" operator="lessThan" stopIfTrue="1">
      <formula>H8-H9-(0.01*(H8-H9))</formula>
    </cfRule>
    <cfRule type="cellIs" priority="56" dxfId="366" operator="lessThan" stopIfTrue="1">
      <formula>H12+H13+H15+H16+H19-(0.01*(H12+H13+H15+H16+H19))</formula>
    </cfRule>
  </conditionalFormatting>
  <conditionalFormatting sqref="J10">
    <cfRule type="cellIs" priority="53" dxfId="366" operator="lessThan" stopIfTrue="1">
      <formula>J8-J9-(0.01*(J8-J9))</formula>
    </cfRule>
    <cfRule type="cellIs" priority="54" dxfId="366" operator="lessThan" stopIfTrue="1">
      <formula>J12+J13+J15+J16+J19-(0.01*(J12+J13+J15+J16+J19))</formula>
    </cfRule>
  </conditionalFormatting>
  <conditionalFormatting sqref="L10">
    <cfRule type="cellIs" priority="51" dxfId="366" operator="lessThan" stopIfTrue="1">
      <formula>L8-L9-(0.01*(L8-L9))</formula>
    </cfRule>
    <cfRule type="cellIs" priority="52" dxfId="366" operator="lessThan" stopIfTrue="1">
      <formula>L12+L13+L15+L16+L19-(0.01*(L12+L13+L15+L16+L19))</formula>
    </cfRule>
  </conditionalFormatting>
  <conditionalFormatting sqref="N10">
    <cfRule type="cellIs" priority="49" dxfId="366" operator="lessThan" stopIfTrue="1">
      <formula>N8-N9-(0.01*(N8-N9))</formula>
    </cfRule>
    <cfRule type="cellIs" priority="50" dxfId="366" operator="lessThan" stopIfTrue="1">
      <formula>N12+N13+N15+N16+N19-(0.01*(N12+N13+N15+N16+N19))</formula>
    </cfRule>
  </conditionalFormatting>
  <conditionalFormatting sqref="P10">
    <cfRule type="cellIs" priority="47" dxfId="366" operator="lessThan" stopIfTrue="1">
      <formula>P8-P9-(0.01*(P8-P9))</formula>
    </cfRule>
    <cfRule type="cellIs" priority="48" dxfId="366" operator="lessThan" stopIfTrue="1">
      <formula>P12+P13+P15+P16+P19-(0.01*(P12+P13+P15+P16+P19))</formula>
    </cfRule>
  </conditionalFormatting>
  <conditionalFormatting sqref="R10">
    <cfRule type="cellIs" priority="45" dxfId="366" operator="lessThan" stopIfTrue="1">
      <formula>R8-R9-(0.01*(R8-R9))</formula>
    </cfRule>
    <cfRule type="cellIs" priority="46" dxfId="366" operator="lessThan" stopIfTrue="1">
      <formula>R12+R13+R15+R16+R19-(0.01*(R12+R13+R15+R16+R19))</formula>
    </cfRule>
  </conditionalFormatting>
  <conditionalFormatting sqref="T10">
    <cfRule type="cellIs" priority="43" dxfId="366" operator="lessThan" stopIfTrue="1">
      <formula>T8-T9-(0.01*(T8-T9))</formula>
    </cfRule>
    <cfRule type="cellIs" priority="44" dxfId="366" operator="lessThan" stopIfTrue="1">
      <formula>T12+T13+T15+T16+T19-(0.01*(T12+T13+T15+T16+T19))</formula>
    </cfRule>
  </conditionalFormatting>
  <conditionalFormatting sqref="V10">
    <cfRule type="cellIs" priority="41" dxfId="366" operator="lessThan" stopIfTrue="1">
      <formula>V8-V9-(0.01*(V8-V9))</formula>
    </cfRule>
    <cfRule type="cellIs" priority="42" dxfId="366" operator="lessThan" stopIfTrue="1">
      <formula>V12+V13+V15+V16+V19-(0.01*(V12+V13+V15+V16+V19))</formula>
    </cfRule>
  </conditionalFormatting>
  <conditionalFormatting sqref="X10">
    <cfRule type="cellIs" priority="39" dxfId="366" operator="lessThan" stopIfTrue="1">
      <formula>X8-X9-(0.01*(X8-X9))</formula>
    </cfRule>
    <cfRule type="cellIs" priority="40" dxfId="366" operator="lessThan" stopIfTrue="1">
      <formula>X12+X13+X15+X16+X19-(0.01*(X12+X13+X15+X16+X19))</formula>
    </cfRule>
  </conditionalFormatting>
  <conditionalFormatting sqref="Z10">
    <cfRule type="cellIs" priority="37" dxfId="366" operator="lessThan" stopIfTrue="1">
      <formula>Z8-Z9-(0.01*(Z8-Z9))</formula>
    </cfRule>
    <cfRule type="cellIs" priority="38" dxfId="366" operator="lessThan" stopIfTrue="1">
      <formula>Z12+Z13+Z15+Z16+Z19-(0.01*(Z12+Z13+Z15+Z16+Z19))</formula>
    </cfRule>
  </conditionalFormatting>
  <conditionalFormatting sqref="AB10">
    <cfRule type="cellIs" priority="35" dxfId="366" operator="lessThan" stopIfTrue="1">
      <formula>AB8-AB9-(0.01*(AB8-AB9))</formula>
    </cfRule>
    <cfRule type="cellIs" priority="36" dxfId="366" operator="lessThan" stopIfTrue="1">
      <formula>AB12+AB13+AB15+AB16+AB19-(0.01*(AB12+AB13+AB15+AB16+AB19))</formula>
    </cfRule>
  </conditionalFormatting>
  <conditionalFormatting sqref="AD10">
    <cfRule type="cellIs" priority="33" dxfId="366" operator="lessThan" stopIfTrue="1">
      <formula>AD8-AD9-(0.01*(AD8-AD9))</formula>
    </cfRule>
    <cfRule type="cellIs" priority="34" dxfId="366" operator="lessThan" stopIfTrue="1">
      <formula>AD12+AD13+AD15+AD16+AD19-(0.01*(AD12+AD13+AD15+AD16+AD19))</formula>
    </cfRule>
  </conditionalFormatting>
  <conditionalFormatting sqref="AF10">
    <cfRule type="cellIs" priority="31" dxfId="366" operator="lessThan" stopIfTrue="1">
      <formula>AF8-AF9-(0.01*(AF8-AF9))</formula>
    </cfRule>
    <cfRule type="cellIs" priority="32" dxfId="366" operator="lessThan" stopIfTrue="1">
      <formula>AF12+AF13+AF15+AF16+AF19-(0.01*(AF12+AF13+AF15+AF16+AF19))</formula>
    </cfRule>
  </conditionalFormatting>
  <conditionalFormatting sqref="AH10">
    <cfRule type="cellIs" priority="29" dxfId="366" operator="lessThan" stopIfTrue="1">
      <formula>AH8-AH9-(0.01*(AH8-AH9))</formula>
    </cfRule>
    <cfRule type="cellIs" priority="30" dxfId="366" operator="lessThan" stopIfTrue="1">
      <formula>AH12+AH13+AH15+AH16+AH19-(0.01*(AH12+AH13+AH15+AH16+AH19))</formula>
    </cfRule>
  </conditionalFormatting>
  <conditionalFormatting sqref="AJ10">
    <cfRule type="cellIs" priority="27" dxfId="366" operator="lessThan" stopIfTrue="1">
      <formula>AJ8-AJ9-(0.01*(AJ8-AJ9))</formula>
    </cfRule>
    <cfRule type="cellIs" priority="28" dxfId="366" operator="lessThan" stopIfTrue="1">
      <formula>AJ12+AJ13+AJ15+AJ16+AJ19-(0.01*(AJ12+AJ13+AJ15+AJ16+AJ19))</formula>
    </cfRule>
  </conditionalFormatting>
  <conditionalFormatting sqref="AL10">
    <cfRule type="cellIs" priority="25" dxfId="366" operator="lessThan" stopIfTrue="1">
      <formula>AL8-AL9-(0.01*(AL8-AL9))</formula>
    </cfRule>
    <cfRule type="cellIs" priority="26" dxfId="366" operator="lessThan" stopIfTrue="1">
      <formula>AL12+AL13+AL15+AL16+AL19-(0.01*(AL12+AL13+AL15+AL16+AL19))</formula>
    </cfRule>
  </conditionalFormatting>
  <conditionalFormatting sqref="AN10">
    <cfRule type="cellIs" priority="23" dxfId="366" operator="lessThan" stopIfTrue="1">
      <formula>AN8-AN9-(0.01*(AN8-AN9))</formula>
    </cfRule>
    <cfRule type="cellIs" priority="24" dxfId="366" operator="lessThan" stopIfTrue="1">
      <formula>AN12+AN13+AN15+AN16+AN19-(0.01*(AN12+AN13+AN15+AN16+AN19))</formula>
    </cfRule>
  </conditionalFormatting>
  <conditionalFormatting sqref="AP10">
    <cfRule type="cellIs" priority="21" dxfId="366" operator="lessThan" stopIfTrue="1">
      <formula>AP8-AP9-(0.01*(AP8-AP9))</formula>
    </cfRule>
    <cfRule type="cellIs" priority="22" dxfId="366" operator="lessThan" stopIfTrue="1">
      <formula>AP12+AP13+AP15+AP16+AP19-(0.01*(AP12+AP13+AP15+AP16+AP19))</formula>
    </cfRule>
  </conditionalFormatting>
  <conditionalFormatting sqref="AR10">
    <cfRule type="cellIs" priority="19" dxfId="366" operator="lessThan" stopIfTrue="1">
      <formula>AR8-AR9-(0.01*(AR8-AR9))</formula>
    </cfRule>
    <cfRule type="cellIs" priority="20" dxfId="366" operator="lessThan" stopIfTrue="1">
      <formula>AR12+AR13+AR15+AR16+AR19-(0.01*(AR12+AR13+AR15+AR16+AR19))</formula>
    </cfRule>
  </conditionalFormatting>
  <conditionalFormatting sqref="AT10">
    <cfRule type="cellIs" priority="17" dxfId="366" operator="lessThan" stopIfTrue="1">
      <formula>AT8-AT9-(0.01*(AT8-AT9))</formula>
    </cfRule>
    <cfRule type="cellIs" priority="18" dxfId="366" operator="lessThan" stopIfTrue="1">
      <formula>AT12+AT13+AT15+AT16+AT19-(0.01*(AT12+AT13+AT15+AT16+AT19))</formula>
    </cfRule>
  </conditionalFormatting>
  <conditionalFormatting sqref="AZ10">
    <cfRule type="cellIs" priority="15" dxfId="366" operator="lessThan" stopIfTrue="1">
      <formula>AZ8-AZ9-(0.01*(AZ8-AZ9))</formula>
    </cfRule>
    <cfRule type="cellIs" priority="16" dxfId="366" operator="lessThan" stopIfTrue="1">
      <formula>AZ12+AZ13+AZ15+AZ16+AZ19-(0.01*(AZ12+AZ13+AZ15+AZ16+AZ19))</formula>
    </cfRule>
  </conditionalFormatting>
  <conditionalFormatting sqref="AV10">
    <cfRule type="cellIs" priority="10" dxfId="366" operator="lessThan" stopIfTrue="1">
      <formula>AV8-AV9-(0.01*(AV8-AV9))</formula>
    </cfRule>
    <cfRule type="cellIs" priority="11" dxfId="366" operator="lessThan" stopIfTrue="1">
      <formula>AV12+AV13+AV15+AV16+AV19-(0.01*(AV12+AV13+AV15+AV16+AV19))</formula>
    </cfRule>
  </conditionalFormatting>
  <conditionalFormatting sqref="AX10">
    <cfRule type="cellIs" priority="8" dxfId="366" operator="lessThan" stopIfTrue="1">
      <formula>AX8-AX9-(0.01*(AX8-AX9))</formula>
    </cfRule>
    <cfRule type="cellIs" priority="9" dxfId="366" operator="lessThan" stopIfTrue="1">
      <formula>AX12+AX13+AX15+AX16+AX19-(0.01*(AX12+AX13+AX15+AX16+AX19))</formula>
    </cfRule>
  </conditionalFormatting>
  <conditionalFormatting sqref="BG28:DA28 BG30:DA31">
    <cfRule type="cellIs" priority="3" dxfId="366"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366" operator="equal" stopIfTrue="1">
      <formula>"&gt; 25%"</formula>
    </cfRule>
  </conditionalFormatting>
  <conditionalFormatting sqref="BI8:BI10 BI12:BI19">
    <cfRule type="cellIs" priority="4" dxfId="366" operator="equal" stopIfTrue="1">
      <formula>"&gt; 100%"</formula>
    </cfRule>
  </conditionalFormatting>
  <conditionalFormatting sqref="CW21:CW23 CY21:CY23 CW8:CW10 CY8:CY10 CY12:CY19 CW12:CW19">
    <cfRule type="cellIs" priority="1" dxfId="366" operator="equal" stopIfTrue="1">
      <formula>"&gt; 25%"</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5" zoomScaleNormal="85" zoomScaleSheetLayoutView="55" zoomScalePageLayoutView="70" workbookViewId="0" topLeftCell="C1">
      <selection activeCell="F8" sqref="F8"/>
    </sheetView>
  </sheetViews>
  <sheetFormatPr defaultColWidth="12" defaultRowHeight="12.75"/>
  <cols>
    <col min="1" max="1" width="4.16015625" style="179" hidden="1" customWidth="1"/>
    <col min="2" max="2" width="5.16015625" style="180" hidden="1" customWidth="1"/>
    <col min="3" max="3" width="8.33203125" style="193" customWidth="1"/>
    <col min="4" max="4" width="37.66015625" style="193" customWidth="1"/>
    <col min="5" max="5" width="13.66015625" style="193" customWidth="1"/>
    <col min="6" max="6" width="8.83203125" style="193" customWidth="1"/>
    <col min="7" max="7" width="1.83203125" style="193" customWidth="1"/>
    <col min="8" max="8" width="7" style="279" customWidth="1"/>
    <col min="9" max="9" width="1.83203125" style="280" customWidth="1"/>
    <col min="10" max="10" width="7.16015625" style="280" customWidth="1"/>
    <col min="11" max="11" width="1.66796875" style="280" customWidth="1"/>
    <col min="12" max="12" width="7.16015625" style="280" customWidth="1"/>
    <col min="13" max="13" width="1.66796875" style="280" customWidth="1"/>
    <col min="14" max="14" width="7.16015625" style="280" customWidth="1"/>
    <col min="15" max="15" width="1.83203125" style="280" customWidth="1"/>
    <col min="16" max="16" width="7" style="281" customWidth="1"/>
    <col min="17" max="17" width="1.83203125" style="280" customWidth="1"/>
    <col min="18" max="18" width="7" style="281" customWidth="1"/>
    <col min="19" max="19" width="1.83203125" style="280" customWidth="1"/>
    <col min="20" max="20" width="7" style="281" customWidth="1"/>
    <col min="21" max="21" width="1.83203125" style="280" customWidth="1"/>
    <col min="22" max="22" width="7" style="281" customWidth="1"/>
    <col min="23" max="23" width="1.83203125" style="280" customWidth="1"/>
    <col min="24" max="24" width="7" style="279" customWidth="1"/>
    <col min="25" max="25" width="1.83203125" style="280" customWidth="1"/>
    <col min="26" max="26" width="7" style="279" customWidth="1"/>
    <col min="27" max="27" width="1.83203125" style="280" customWidth="1"/>
    <col min="28" max="28" width="7" style="279" customWidth="1"/>
    <col min="29" max="29" width="1.83203125" style="280" customWidth="1"/>
    <col min="30" max="30" width="7" style="279" customWidth="1"/>
    <col min="31" max="31" width="1.83203125" style="280" customWidth="1"/>
    <col min="32" max="32" width="7" style="279" customWidth="1"/>
    <col min="33" max="33" width="1.83203125" style="280" customWidth="1"/>
    <col min="34" max="34" width="7" style="279" customWidth="1"/>
    <col min="35" max="35" width="1.83203125" style="280" customWidth="1"/>
    <col min="36" max="36" width="7" style="281" customWidth="1"/>
    <col min="37" max="37" width="1.83203125" style="280" customWidth="1"/>
    <col min="38" max="38" width="7" style="279" customWidth="1"/>
    <col min="39" max="39" width="1.83203125" style="280" customWidth="1"/>
    <col min="40" max="40" width="7" style="279" customWidth="1"/>
    <col min="41" max="41" width="1.83203125" style="280" customWidth="1"/>
    <col min="42" max="42" width="7" style="280" customWidth="1"/>
    <col min="43" max="43" width="1.83203125" style="280" customWidth="1"/>
    <col min="44" max="44" width="7" style="280" customWidth="1"/>
    <col min="45" max="45" width="1.83203125" style="280" customWidth="1"/>
    <col min="46" max="46" width="7" style="279" customWidth="1"/>
    <col min="47" max="47" width="1.83203125" style="280" customWidth="1"/>
    <col min="48" max="48" width="7" style="280" customWidth="1"/>
    <col min="49" max="49" width="1.83203125" style="280" customWidth="1"/>
    <col min="50" max="50" width="7" style="279" customWidth="1"/>
    <col min="51" max="51" width="1.83203125" style="280" customWidth="1"/>
    <col min="52" max="52" width="7" style="279" customWidth="1"/>
    <col min="53" max="53" width="1.83203125" style="280"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06" width="0.65625" style="191" customWidth="1"/>
    <col min="107" max="16384" width="12" style="193" customWidth="1"/>
  </cols>
  <sheetData>
    <row r="1" spans="1:106" s="447" customFormat="1" ht="15.75" customHeight="1">
      <c r="A1" s="446"/>
      <c r="B1" s="180">
        <v>0</v>
      </c>
      <c r="C1" s="706" t="s">
        <v>165</v>
      </c>
      <c r="D1" s="181"/>
      <c r="E1" s="338"/>
      <c r="F1" s="338"/>
      <c r="G1" s="338"/>
      <c r="H1" s="339"/>
      <c r="I1" s="340"/>
      <c r="J1" s="340"/>
      <c r="K1" s="340"/>
      <c r="L1" s="340"/>
      <c r="M1" s="340"/>
      <c r="N1" s="340"/>
      <c r="O1" s="340"/>
      <c r="P1" s="341"/>
      <c r="Q1" s="340"/>
      <c r="R1" s="341"/>
      <c r="S1" s="340"/>
      <c r="T1" s="341"/>
      <c r="U1" s="340"/>
      <c r="V1" s="341"/>
      <c r="W1" s="340"/>
      <c r="X1" s="339"/>
      <c r="Y1" s="340"/>
      <c r="Z1" s="339"/>
      <c r="AA1" s="340"/>
      <c r="AB1" s="339"/>
      <c r="AC1" s="340"/>
      <c r="AD1" s="339"/>
      <c r="AE1" s="340"/>
      <c r="AF1" s="339"/>
      <c r="AG1" s="340"/>
      <c r="AH1" s="339"/>
      <c r="AI1" s="340"/>
      <c r="AJ1" s="341"/>
      <c r="AK1" s="340"/>
      <c r="AL1" s="339"/>
      <c r="AM1" s="340"/>
      <c r="AN1" s="339"/>
      <c r="AO1" s="340"/>
      <c r="AP1" s="340"/>
      <c r="AQ1" s="340"/>
      <c r="AR1" s="340"/>
      <c r="AS1" s="340"/>
      <c r="AT1" s="339"/>
      <c r="AU1" s="340"/>
      <c r="AV1" s="340"/>
      <c r="AW1" s="340"/>
      <c r="AX1" s="339"/>
      <c r="AY1" s="340"/>
      <c r="AZ1" s="339"/>
      <c r="BA1" s="340"/>
      <c r="BB1" s="497"/>
      <c r="BC1" s="213"/>
      <c r="BD1" s="192" t="s">
        <v>447</v>
      </c>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213"/>
    </row>
    <row r="2" spans="5:52" ht="6" customHeight="1">
      <c r="E2" s="343"/>
      <c r="F2" s="343"/>
      <c r="G2" s="343"/>
      <c r="H2" s="347"/>
      <c r="AE2" s="352"/>
      <c r="AF2" s="347"/>
      <c r="AG2" s="352"/>
      <c r="AH2" s="347"/>
      <c r="AI2" s="352"/>
      <c r="AJ2" s="430"/>
      <c r="AK2" s="352"/>
      <c r="AL2" s="347"/>
      <c r="AM2" s="352"/>
      <c r="AN2" s="347"/>
      <c r="AO2" s="352"/>
      <c r="AP2" s="352"/>
      <c r="AQ2" s="352"/>
      <c r="AR2" s="352"/>
      <c r="AS2" s="352"/>
      <c r="AT2" s="347"/>
      <c r="AV2" s="352"/>
      <c r="AW2" s="352"/>
      <c r="AX2" s="347"/>
      <c r="AZ2" s="347"/>
    </row>
    <row r="3" spans="1:106" s="364" customFormat="1" ht="17.25" customHeight="1">
      <c r="A3" s="291"/>
      <c r="B3" s="291">
        <v>180</v>
      </c>
      <c r="C3" s="348" t="s">
        <v>324</v>
      </c>
      <c r="D3" s="703" t="s">
        <v>144</v>
      </c>
      <c r="E3" s="433"/>
      <c r="F3" s="434"/>
      <c r="G3" s="435"/>
      <c r="H3" s="436"/>
      <c r="I3" s="437"/>
      <c r="J3" s="437"/>
      <c r="K3" s="437"/>
      <c r="L3" s="437"/>
      <c r="M3" s="437"/>
      <c r="N3" s="437"/>
      <c r="O3" s="437"/>
      <c r="P3" s="436"/>
      <c r="Q3" s="437"/>
      <c r="R3" s="436"/>
      <c r="S3" s="437"/>
      <c r="T3" s="436"/>
      <c r="U3" s="437"/>
      <c r="V3" s="436"/>
      <c r="W3" s="435"/>
      <c r="X3" s="436"/>
      <c r="Y3" s="438"/>
      <c r="Z3" s="111"/>
      <c r="AA3" s="438"/>
      <c r="AB3" s="57"/>
      <c r="AC3" s="348" t="s">
        <v>300</v>
      </c>
      <c r="AD3" s="350"/>
      <c r="AE3" s="349"/>
      <c r="AF3" s="350"/>
      <c r="AG3" s="351"/>
      <c r="AH3" s="350"/>
      <c r="AI3" s="349"/>
      <c r="AJ3" s="436"/>
      <c r="AK3" s="435"/>
      <c r="AL3" s="436"/>
      <c r="AM3" s="435"/>
      <c r="AN3" s="436"/>
      <c r="AO3" s="439"/>
      <c r="AP3" s="439"/>
      <c r="AQ3" s="439"/>
      <c r="AR3" s="439"/>
      <c r="AS3" s="439"/>
      <c r="AT3" s="440"/>
      <c r="AU3" s="440"/>
      <c r="AV3" s="439"/>
      <c r="AW3" s="439"/>
      <c r="AX3" s="440"/>
      <c r="AY3" s="440"/>
      <c r="AZ3" s="440"/>
      <c r="BA3" s="440"/>
      <c r="BB3" s="440"/>
      <c r="BC3" s="354"/>
      <c r="BD3" s="355" t="s">
        <v>423</v>
      </c>
      <c r="BE3" s="449"/>
      <c r="BF3" s="362"/>
      <c r="BG3" s="450"/>
      <c r="BH3" s="450"/>
      <c r="BI3" s="498"/>
      <c r="BJ3" s="498"/>
      <c r="BK3" s="498"/>
      <c r="BL3" s="498"/>
      <c r="BM3" s="451"/>
      <c r="BN3" s="451"/>
      <c r="BO3" s="451"/>
      <c r="BP3" s="451"/>
      <c r="BQ3" s="498"/>
      <c r="BR3" s="498"/>
      <c r="BS3" s="451"/>
      <c r="BT3" s="451"/>
      <c r="BU3" s="451"/>
      <c r="BV3" s="451"/>
      <c r="BW3" s="451"/>
      <c r="BX3" s="451"/>
      <c r="BY3" s="452"/>
      <c r="BZ3" s="452"/>
      <c r="CA3" s="362"/>
      <c r="CB3" s="362"/>
      <c r="CC3" s="362"/>
      <c r="CD3" s="362"/>
      <c r="CE3" s="362"/>
      <c r="CF3" s="362"/>
      <c r="CG3" s="452"/>
      <c r="CH3" s="452"/>
      <c r="CI3" s="362"/>
      <c r="CJ3" s="362"/>
      <c r="CK3" s="362"/>
      <c r="CL3" s="362"/>
      <c r="CM3" s="362"/>
      <c r="CN3" s="362"/>
      <c r="CO3" s="362"/>
      <c r="CP3" s="362"/>
      <c r="CQ3" s="362"/>
      <c r="CR3" s="362"/>
      <c r="CS3" s="362"/>
      <c r="CT3" s="362"/>
      <c r="CU3" s="449"/>
      <c r="CV3" s="449"/>
      <c r="CW3" s="362"/>
      <c r="CX3" s="362"/>
      <c r="CY3" s="449"/>
      <c r="CZ3" s="449"/>
      <c r="DA3" s="449"/>
      <c r="DB3" s="449"/>
    </row>
    <row r="4" spans="3:56" ht="6" customHeight="1">
      <c r="C4" s="499"/>
      <c r="D4" s="499"/>
      <c r="E4" s="405"/>
      <c r="F4" s="405"/>
      <c r="G4" s="405"/>
      <c r="H4" s="352"/>
      <c r="I4" s="352"/>
      <c r="J4" s="352"/>
      <c r="K4" s="352"/>
      <c r="L4" s="352"/>
      <c r="M4" s="352"/>
      <c r="N4" s="352"/>
      <c r="O4" s="352"/>
      <c r="P4" s="430"/>
      <c r="Q4" s="352"/>
      <c r="R4" s="430"/>
      <c r="S4" s="352"/>
      <c r="T4" s="430"/>
      <c r="U4" s="352"/>
      <c r="V4" s="430"/>
      <c r="W4" s="352"/>
      <c r="X4" s="347"/>
      <c r="Y4" s="352"/>
      <c r="Z4" s="347"/>
      <c r="AA4" s="352"/>
      <c r="AB4" s="347"/>
      <c r="AC4" s="352"/>
      <c r="AE4" s="352"/>
      <c r="AF4" s="347"/>
      <c r="AG4" s="352"/>
      <c r="AH4" s="347"/>
      <c r="AI4" s="352"/>
      <c r="AJ4" s="430"/>
      <c r="AK4" s="352"/>
      <c r="AL4" s="347"/>
      <c r="AM4" s="352"/>
      <c r="AN4" s="500"/>
      <c r="AO4" s="352"/>
      <c r="AP4" s="352"/>
      <c r="AQ4" s="352"/>
      <c r="AR4" s="352"/>
      <c r="AS4" s="352"/>
      <c r="AT4" s="347"/>
      <c r="AV4" s="352"/>
      <c r="AW4" s="352"/>
      <c r="AX4" s="347"/>
      <c r="AZ4" s="347"/>
      <c r="BD4" s="330"/>
    </row>
    <row r="5" spans="1:106" s="447" customFormat="1" ht="18" customHeight="1">
      <c r="A5" s="446"/>
      <c r="B5" s="180">
        <v>7</v>
      </c>
      <c r="C5" s="830" t="s">
        <v>194</v>
      </c>
      <c r="D5" s="830"/>
      <c r="E5" s="863"/>
      <c r="F5" s="863"/>
      <c r="G5" s="863"/>
      <c r="H5" s="863"/>
      <c r="I5" s="832"/>
      <c r="J5" s="832"/>
      <c r="K5" s="832"/>
      <c r="L5" s="832"/>
      <c r="M5" s="832"/>
      <c r="N5" s="832"/>
      <c r="O5" s="832"/>
      <c r="P5" s="832"/>
      <c r="Q5" s="832"/>
      <c r="R5" s="832"/>
      <c r="S5" s="832"/>
      <c r="T5" s="832"/>
      <c r="U5" s="832"/>
      <c r="V5" s="832"/>
      <c r="W5" s="832"/>
      <c r="X5" s="863"/>
      <c r="Y5" s="832"/>
      <c r="Z5" s="863"/>
      <c r="AA5" s="832"/>
      <c r="AB5" s="863"/>
      <c r="AC5" s="832"/>
      <c r="AD5" s="863"/>
      <c r="AE5" s="832"/>
      <c r="AF5" s="863"/>
      <c r="AG5" s="832"/>
      <c r="AH5" s="863"/>
      <c r="AI5" s="832"/>
      <c r="AJ5" s="832"/>
      <c r="AK5" s="832"/>
      <c r="AL5" s="863"/>
      <c r="AM5" s="832"/>
      <c r="AN5" s="863"/>
      <c r="AO5" s="366"/>
      <c r="AP5" s="366"/>
      <c r="AQ5" s="366"/>
      <c r="AR5" s="366"/>
      <c r="AS5" s="366"/>
      <c r="AT5" s="367"/>
      <c r="AU5" s="366"/>
      <c r="AV5" s="366"/>
      <c r="AW5" s="366"/>
      <c r="AX5" s="367"/>
      <c r="AY5" s="366"/>
      <c r="AZ5" s="367"/>
      <c r="BA5" s="366"/>
      <c r="BB5" s="453"/>
      <c r="BC5" s="213"/>
      <c r="BD5" s="369" t="s">
        <v>424</v>
      </c>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612"/>
      <c r="CY5" s="612"/>
      <c r="CZ5" s="612"/>
      <c r="DA5" s="612"/>
      <c r="DB5" s="213"/>
    </row>
    <row r="6" spans="1:106" s="455" customFormat="1" ht="14.25" customHeight="1">
      <c r="A6" s="454"/>
      <c r="B6" s="180"/>
      <c r="C6" s="672"/>
      <c r="D6" s="673"/>
      <c r="E6" s="673"/>
      <c r="F6" s="677" t="s">
        <v>489</v>
      </c>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878"/>
      <c r="AJ6" s="865"/>
      <c r="AK6" s="865"/>
      <c r="AL6" s="865"/>
      <c r="AM6" s="865"/>
      <c r="AN6" s="865"/>
      <c r="AO6" s="865"/>
      <c r="AP6" s="865"/>
      <c r="AQ6" s="865"/>
      <c r="AR6" s="865"/>
      <c r="AS6" s="865"/>
      <c r="AT6" s="865"/>
      <c r="AU6" s="865"/>
      <c r="AV6" s="865"/>
      <c r="AW6" s="865"/>
      <c r="AX6" s="865"/>
      <c r="AY6" s="865"/>
      <c r="AZ6" s="865"/>
      <c r="BA6" s="375"/>
      <c r="BB6" s="218"/>
      <c r="BC6" s="213"/>
      <c r="BD6" s="376" t="s">
        <v>664</v>
      </c>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612"/>
      <c r="CY6" s="612"/>
      <c r="CZ6" s="612"/>
      <c r="DA6" s="612"/>
      <c r="DB6" s="213"/>
    </row>
    <row r="7" spans="2:106" ht="22.5" customHeight="1">
      <c r="B7" s="180">
        <v>2</v>
      </c>
      <c r="C7" s="226" t="s">
        <v>301</v>
      </c>
      <c r="D7" s="226" t="s">
        <v>302</v>
      </c>
      <c r="E7" s="226" t="s">
        <v>303</v>
      </c>
      <c r="F7" s="226">
        <v>1990</v>
      </c>
      <c r="G7" s="227"/>
      <c r="H7" s="226">
        <v>1995</v>
      </c>
      <c r="I7" s="227"/>
      <c r="J7" s="226">
        <v>1996</v>
      </c>
      <c r="K7" s="227"/>
      <c r="L7" s="226">
        <v>1997</v>
      </c>
      <c r="M7" s="227"/>
      <c r="N7" s="226">
        <v>1998</v>
      </c>
      <c r="O7" s="227"/>
      <c r="P7" s="226">
        <v>1999</v>
      </c>
      <c r="Q7" s="227"/>
      <c r="R7" s="226">
        <v>2000</v>
      </c>
      <c r="S7" s="227"/>
      <c r="T7" s="226">
        <v>2001</v>
      </c>
      <c r="U7" s="227"/>
      <c r="V7" s="226">
        <v>2002</v>
      </c>
      <c r="W7" s="227"/>
      <c r="X7" s="226">
        <v>2003</v>
      </c>
      <c r="Y7" s="227"/>
      <c r="Z7" s="226">
        <v>2004</v>
      </c>
      <c r="AA7" s="227"/>
      <c r="AB7" s="226">
        <v>2005</v>
      </c>
      <c r="AC7" s="227"/>
      <c r="AD7" s="226">
        <v>2006</v>
      </c>
      <c r="AE7" s="227"/>
      <c r="AF7" s="226">
        <v>2007</v>
      </c>
      <c r="AG7" s="227"/>
      <c r="AH7" s="226">
        <v>2008</v>
      </c>
      <c r="AI7" s="227"/>
      <c r="AJ7" s="226">
        <v>2009</v>
      </c>
      <c r="AK7" s="227"/>
      <c r="AL7" s="226">
        <v>2010</v>
      </c>
      <c r="AM7" s="227"/>
      <c r="AN7" s="226">
        <v>2011</v>
      </c>
      <c r="AO7" s="227"/>
      <c r="AP7" s="226">
        <v>2012</v>
      </c>
      <c r="AQ7" s="227"/>
      <c r="AR7" s="226">
        <v>2013</v>
      </c>
      <c r="AS7" s="227"/>
      <c r="AT7" s="226">
        <v>2014</v>
      </c>
      <c r="AU7" s="227"/>
      <c r="AV7" s="226">
        <v>2015</v>
      </c>
      <c r="AW7" s="227"/>
      <c r="AX7" s="226">
        <v>2016</v>
      </c>
      <c r="AY7" s="227"/>
      <c r="AZ7" s="226">
        <v>2017</v>
      </c>
      <c r="BA7" s="227"/>
      <c r="BD7" s="226" t="s">
        <v>545</v>
      </c>
      <c r="BE7" s="226" t="s">
        <v>546</v>
      </c>
      <c r="BF7" s="226" t="s">
        <v>548</v>
      </c>
      <c r="BG7" s="225">
        <v>1990</v>
      </c>
      <c r="BH7" s="225"/>
      <c r="BI7" s="226">
        <v>1995</v>
      </c>
      <c r="BJ7" s="501"/>
      <c r="BK7" s="501">
        <v>1996</v>
      </c>
      <c r="BL7" s="501"/>
      <c r="BM7" s="226">
        <v>1997</v>
      </c>
      <c r="BN7" s="226"/>
      <c r="BO7" s="226">
        <v>1998</v>
      </c>
      <c r="BP7" s="501"/>
      <c r="BQ7" s="501">
        <v>1999</v>
      </c>
      <c r="BR7" s="501"/>
      <c r="BS7" s="226">
        <v>2000</v>
      </c>
      <c r="BT7" s="226"/>
      <c r="BU7" s="226">
        <v>2001</v>
      </c>
      <c r="BV7" s="226"/>
      <c r="BW7" s="226">
        <v>2002</v>
      </c>
      <c r="BX7" s="226"/>
      <c r="BY7" s="226">
        <v>2003</v>
      </c>
      <c r="BZ7" s="226"/>
      <c r="CA7" s="226">
        <v>2004</v>
      </c>
      <c r="CB7" s="226"/>
      <c r="CC7" s="226">
        <v>2005</v>
      </c>
      <c r="CD7" s="226"/>
      <c r="CE7" s="226">
        <v>2006</v>
      </c>
      <c r="CF7" s="226"/>
      <c r="CG7" s="226">
        <v>2007</v>
      </c>
      <c r="CH7" s="226"/>
      <c r="CI7" s="226">
        <v>2008</v>
      </c>
      <c r="CJ7" s="226"/>
      <c r="CK7" s="226">
        <v>2009</v>
      </c>
      <c r="CL7" s="226"/>
      <c r="CM7" s="226">
        <v>2010</v>
      </c>
      <c r="CN7" s="226"/>
      <c r="CO7" s="226">
        <v>2011</v>
      </c>
      <c r="CP7" s="226"/>
      <c r="CQ7" s="226">
        <v>2012</v>
      </c>
      <c r="CR7" s="226"/>
      <c r="CS7" s="226">
        <v>2013</v>
      </c>
      <c r="CT7" s="226"/>
      <c r="CU7" s="226">
        <v>2014</v>
      </c>
      <c r="CV7" s="226"/>
      <c r="CW7" s="226">
        <v>2015</v>
      </c>
      <c r="CX7" s="226"/>
      <c r="CY7" s="226">
        <v>2016</v>
      </c>
      <c r="CZ7" s="226"/>
      <c r="DA7" s="226">
        <v>2017</v>
      </c>
      <c r="DB7" s="227"/>
    </row>
    <row r="8" spans="2:106" ht="21.75" customHeight="1">
      <c r="B8" s="235">
        <v>84</v>
      </c>
      <c r="C8" s="396">
        <v>1</v>
      </c>
      <c r="D8" s="502" t="s">
        <v>482</v>
      </c>
      <c r="E8" s="257" t="s">
        <v>317</v>
      </c>
      <c r="F8" s="583"/>
      <c r="G8" s="593"/>
      <c r="H8" s="583"/>
      <c r="I8" s="593"/>
      <c r="J8" s="583"/>
      <c r="K8" s="593"/>
      <c r="L8" s="583"/>
      <c r="M8" s="593"/>
      <c r="N8" s="583"/>
      <c r="O8" s="593"/>
      <c r="P8" s="583"/>
      <c r="Q8" s="593"/>
      <c r="R8" s="583"/>
      <c r="S8" s="593"/>
      <c r="T8" s="583"/>
      <c r="U8" s="593"/>
      <c r="V8" s="583"/>
      <c r="W8" s="593"/>
      <c r="X8" s="583"/>
      <c r="Y8" s="593"/>
      <c r="Z8" s="583"/>
      <c r="AA8" s="593"/>
      <c r="AB8" s="583"/>
      <c r="AC8" s="593"/>
      <c r="AD8" s="583"/>
      <c r="AE8" s="593"/>
      <c r="AF8" s="583"/>
      <c r="AG8" s="593"/>
      <c r="AH8" s="583"/>
      <c r="AI8" s="593"/>
      <c r="AJ8" s="583"/>
      <c r="AK8" s="593"/>
      <c r="AL8" s="583"/>
      <c r="AM8" s="593"/>
      <c r="AN8" s="583"/>
      <c r="AO8" s="593"/>
      <c r="AP8" s="583"/>
      <c r="AQ8" s="593"/>
      <c r="AR8" s="583"/>
      <c r="AS8" s="593"/>
      <c r="AT8" s="583"/>
      <c r="AU8" s="593"/>
      <c r="AV8" s="583"/>
      <c r="AW8" s="593"/>
      <c r="AX8" s="583"/>
      <c r="AY8" s="593"/>
      <c r="AZ8" s="583"/>
      <c r="BA8" s="593"/>
      <c r="BD8" s="386">
        <v>1</v>
      </c>
      <c r="BE8" s="503" t="s">
        <v>451</v>
      </c>
      <c r="BF8" s="84" t="s">
        <v>570</v>
      </c>
      <c r="BG8" s="504" t="s">
        <v>448</v>
      </c>
      <c r="BH8" s="119"/>
      <c r="BI8" s="100" t="str">
        <f>IF(OR(ISBLANK(F8),ISBLANK(H8)),"N/A",IF(ABS((H8-F8)/F8)&gt;1,"&gt; 100%","ok"))</f>
        <v>N/A</v>
      </c>
      <c r="BJ8" s="100"/>
      <c r="BK8" s="100" t="str">
        <f aca="true" t="shared" si="0" ref="BK8:BK27">IF(OR(ISBLANK(H8),ISBLANK(J8)),"N/A",IF(ABS((J8-H8)/H8)&gt;0.25,"&gt; 25%","ok"))</f>
        <v>N/A</v>
      </c>
      <c r="BL8" s="100"/>
      <c r="BM8" s="100" t="str">
        <f aca="true" t="shared" si="1" ref="BM8:BM27">IF(OR(ISBLANK(J8),ISBLANK(L8)),"N/A",IF(ABS((L8-J8)/J8)&gt;0.25,"&gt; 25%","ok"))</f>
        <v>N/A</v>
      </c>
      <c r="BN8" s="100"/>
      <c r="BO8" s="100" t="str">
        <f aca="true" t="shared" si="2" ref="BO8:BO27">IF(OR(ISBLANK(L8),ISBLANK(N8)),"N/A",IF(ABS((N8-L8)/L8)&gt;0.25,"&gt; 25%","ok"))</f>
        <v>N/A</v>
      </c>
      <c r="BP8" s="100"/>
      <c r="BQ8" s="100" t="str">
        <f aca="true" t="shared" si="3" ref="BQ8:BQ26">IF(OR(ISBLANK(N8),ISBLANK(P8)),"N/A",IF(ABS((P8-N8)/N8)&gt;0.25,"&gt; 25%","ok"))</f>
        <v>N/A</v>
      </c>
      <c r="BR8" s="100"/>
      <c r="BS8" s="100" t="str">
        <f>IF(OR(ISBLANK(P8),ISBLANK(R8)),"N/A",IF(ABS((R8-P8)/P8)&gt;0.25,"&gt; 25%","ok"))</f>
        <v>N/A</v>
      </c>
      <c r="BT8" s="100"/>
      <c r="BU8" s="100" t="str">
        <f>IF(OR(ISBLANK(R8),ISBLANK(T8)),"N/A",IF(ABS((T8-R8)/R8)&gt;0.25,"&gt; 25%","ok"))</f>
        <v>N/A</v>
      </c>
      <c r="BV8" s="100"/>
      <c r="BW8" s="100" t="str">
        <f>IF(OR(ISBLANK(T8),ISBLANK(V8)),"N/A",IF(ABS((V8-T8)/T8)&gt;0.25,"&gt; 25%","ok"))</f>
        <v>N/A</v>
      </c>
      <c r="BX8" s="100"/>
      <c r="BY8" s="100" t="str">
        <f>IF(OR(ISBLANK(V8),ISBLANK(X8)),"N/A",IF(ABS((X8-V8)/V8)&gt;0.25,"&gt; 25%","ok"))</f>
        <v>N/A</v>
      </c>
      <c r="BZ8" s="100"/>
      <c r="CA8" s="100" t="str">
        <f>IF(OR(ISBLANK(X8),ISBLANK(Z8)),"N/A",IF(ABS((Z8-X8)/X8)&gt;0.25,"&gt; 25%","ok"))</f>
        <v>N/A</v>
      </c>
      <c r="CB8" s="100"/>
      <c r="CC8" s="100" t="str">
        <f>IF(OR(ISBLANK(Z8),ISBLANK(AB8)),"N/A",IF(ABS((AB8-Z8)/Z8)&gt;0.25,"&gt; 25%","ok"))</f>
        <v>N/A</v>
      </c>
      <c r="CD8" s="100"/>
      <c r="CE8" s="100" t="str">
        <f>IF(OR(ISBLANK(AB8),ISBLANK(AD8)),"N/A",IF(ABS((AD8-AB8)/AB8)&gt;0.25,"&gt; 25%","ok"))</f>
        <v>N/A</v>
      </c>
      <c r="CF8" s="100"/>
      <c r="CG8" s="100" t="str">
        <f>IF(OR(ISBLANK(AD8),ISBLANK(AF8)),"N/A",IF(ABS((AF8-AD8)/AD8)&gt;0.25,"&gt; 25%","ok"))</f>
        <v>N/A</v>
      </c>
      <c r="CH8" s="100"/>
      <c r="CI8" s="100" t="str">
        <f>IF(OR(ISBLANK(AF8),ISBLANK(AH8)),"N/A",IF(ABS((AH8-AF8)/AF8)&gt;0.25,"&gt; 25%","ok"))</f>
        <v>N/A</v>
      </c>
      <c r="CJ8" s="100"/>
      <c r="CK8" s="100" t="str">
        <f>IF(OR(ISBLANK(AH8),ISBLANK(AJ8)),"N/A",IF(ABS((AJ8-AH8)/AH8)&gt;0.25,"&gt; 25%","ok"))</f>
        <v>N/A</v>
      </c>
      <c r="CL8" s="100"/>
      <c r="CM8" s="100" t="str">
        <f>IF(OR(ISBLANK(AJ8),ISBLANK(AL8)),"N/A",IF(ABS((AL8-AJ8)/AJ8)&gt;0.25,"&gt; 25%","ok"))</f>
        <v>N/A</v>
      </c>
      <c r="CN8" s="100"/>
      <c r="CO8" s="100" t="str">
        <f>IF(OR(ISBLANK(AL8),ISBLANK(AN8)),"N/A",IF(ABS((AN8-AL8)/AL8)&gt;0.25,"&gt; 25%","ok"))</f>
        <v>N/A</v>
      </c>
      <c r="CP8" s="100"/>
      <c r="CQ8" s="100" t="str">
        <f>IF(OR(ISBLANK(AN8),ISBLANK(AP8)),"N/A",IF(ABS((AP8-AN8)/AN8)&gt;0.25,"&gt; 25%","ok"))</f>
        <v>N/A</v>
      </c>
      <c r="CR8" s="100"/>
      <c r="CS8" s="100" t="str">
        <f>IF(OR(ISBLANK(AP8),ISBLANK(AR8)),"N/A",IF(ABS((AR8-AP8)/AP8)&gt;0.25,"&gt; 25%","ok"))</f>
        <v>N/A</v>
      </c>
      <c r="CT8" s="100"/>
      <c r="CU8" s="100" t="str">
        <f>IF(OR(ISBLANK(AR8),ISBLANK(AT8)),"N/A",IF(ABS((AT8-AR8)/AR8)&gt;0.25,"&gt; 25%","ok"))</f>
        <v>N/A</v>
      </c>
      <c r="CV8" s="100"/>
      <c r="CW8" s="100" t="str">
        <f>IF(OR(ISBLANK(AT8),ISBLANK(AV8)),"N/A",IF(ABS((AV8-AT8)/AT8)&gt;0.25,"&gt; 25%","ok"))</f>
        <v>N/A</v>
      </c>
      <c r="CX8" s="100"/>
      <c r="CY8" s="100" t="str">
        <f>IF(OR(ISBLANK(AV8),ISBLANK(AX8)),"N/A",IF(ABS((AX8-AV8)/AV8)&gt;0.25,"&gt; 25%","ok"))</f>
        <v>N/A</v>
      </c>
      <c r="CZ8" s="100"/>
      <c r="DA8" s="100" t="str">
        <f>IF(OR(ISBLANK(AX8),ISBLANK(AZ8)),"N/A",IF(ABS((AZ8-AX8)/AX8)&gt;0.25,"&gt; 25%","ok"))</f>
        <v>N/A</v>
      </c>
      <c r="DB8" s="243"/>
    </row>
    <row r="9" spans="2:107" ht="36.75" customHeight="1">
      <c r="B9" s="505">
        <v>85</v>
      </c>
      <c r="C9" s="257">
        <v>2</v>
      </c>
      <c r="D9" s="267" t="s">
        <v>644</v>
      </c>
      <c r="E9" s="257" t="s">
        <v>317</v>
      </c>
      <c r="F9" s="583"/>
      <c r="G9" s="593"/>
      <c r="H9" s="583"/>
      <c r="I9" s="593"/>
      <c r="J9" s="583"/>
      <c r="K9" s="593"/>
      <c r="L9" s="583"/>
      <c r="M9" s="593"/>
      <c r="N9" s="583"/>
      <c r="O9" s="593"/>
      <c r="P9" s="583"/>
      <c r="Q9" s="593"/>
      <c r="R9" s="583"/>
      <c r="S9" s="593"/>
      <c r="T9" s="583"/>
      <c r="U9" s="593"/>
      <c r="V9" s="583"/>
      <c r="W9" s="593"/>
      <c r="X9" s="583"/>
      <c r="Y9" s="593"/>
      <c r="Z9" s="583"/>
      <c r="AA9" s="593"/>
      <c r="AB9" s="583"/>
      <c r="AC9" s="593"/>
      <c r="AD9" s="583"/>
      <c r="AE9" s="593"/>
      <c r="AF9" s="583"/>
      <c r="AG9" s="593"/>
      <c r="AH9" s="583"/>
      <c r="AI9" s="593"/>
      <c r="AJ9" s="583"/>
      <c r="AK9" s="593"/>
      <c r="AL9" s="583"/>
      <c r="AM9" s="593"/>
      <c r="AN9" s="583"/>
      <c r="AO9" s="593"/>
      <c r="AP9" s="583"/>
      <c r="AQ9" s="593"/>
      <c r="AR9" s="583"/>
      <c r="AS9" s="593"/>
      <c r="AT9" s="583"/>
      <c r="AU9" s="593"/>
      <c r="AV9" s="583"/>
      <c r="AW9" s="593"/>
      <c r="AX9" s="583"/>
      <c r="AY9" s="593"/>
      <c r="AZ9" s="583"/>
      <c r="BA9" s="593"/>
      <c r="BD9" s="84">
        <v>2</v>
      </c>
      <c r="BE9" s="464" t="s">
        <v>674</v>
      </c>
      <c r="BF9" s="84" t="s">
        <v>570</v>
      </c>
      <c r="BG9" s="119" t="s">
        <v>448</v>
      </c>
      <c r="BH9" s="118"/>
      <c r="BI9" s="100" t="str">
        <f>IF(OR(ISBLANK(F9),ISBLANK(H9)),"N/A",IF(ABS((H9-F9)/F9)&gt;1,"&gt; 100%","ok"))</f>
        <v>N/A</v>
      </c>
      <c r="BJ9" s="117"/>
      <c r="BK9" s="100" t="str">
        <f>IF(OR(ISBLANK(H9),ISBLANK(J9)),"N/A",IF(ABS((J9-H9)/H9)&gt;0.25,"&gt; 25%","ok"))</f>
        <v>N/A</v>
      </c>
      <c r="BL9" s="118"/>
      <c r="BM9" s="100" t="str">
        <f t="shared" si="1"/>
        <v>N/A</v>
      </c>
      <c r="BN9" s="118"/>
      <c r="BO9" s="100" t="str">
        <f t="shared" si="2"/>
        <v>N/A</v>
      </c>
      <c r="BP9" s="118"/>
      <c r="BQ9" s="100" t="str">
        <f t="shared" si="3"/>
        <v>N/A</v>
      </c>
      <c r="BR9" s="118"/>
      <c r="BS9" s="100" t="str">
        <f aca="true" t="shared" si="4" ref="BS9:BS17">IF(OR(ISBLANK(P9),ISBLANK(R9)),"N/A",IF(ABS((R9-P9)/P9)&gt;0.25,"&gt; 25%","ok"))</f>
        <v>N/A</v>
      </c>
      <c r="BT9" s="118"/>
      <c r="BU9" s="100" t="str">
        <f aca="true" t="shared" si="5" ref="BU9:BU17">IF(OR(ISBLANK(R9),ISBLANK(T9)),"N/A",IF(ABS((T9-R9)/R9)&gt;0.25,"&gt; 25%","ok"))</f>
        <v>N/A</v>
      </c>
      <c r="BV9" s="117"/>
      <c r="BW9" s="100" t="str">
        <f aca="true" t="shared" si="6" ref="BW9:BW17">IF(OR(ISBLANK(T9),ISBLANK(V9)),"N/A",IF(ABS((V9-T9)/T9)&gt;0.25,"&gt; 25%","ok"))</f>
        <v>N/A</v>
      </c>
      <c r="BX9" s="84"/>
      <c r="BY9" s="100" t="str">
        <f aca="true" t="shared" si="7" ref="BY9:BY17">IF(OR(ISBLANK(V9),ISBLANK(X9)),"N/A",IF(ABS((X9-V9)/V9)&gt;0.25,"&gt; 25%","ok"))</f>
        <v>N/A</v>
      </c>
      <c r="BZ9" s="119"/>
      <c r="CA9" s="100" t="str">
        <f aca="true" t="shared" si="8" ref="CA9:CA17">IF(OR(ISBLANK(X9),ISBLANK(Z9)),"N/A",IF(ABS((Z9-X9)/X9)&gt;0.25,"&gt; 25%","ok"))</f>
        <v>N/A</v>
      </c>
      <c r="CB9" s="117"/>
      <c r="CC9" s="100" t="str">
        <f aca="true" t="shared" si="9" ref="CC9:CC17">IF(OR(ISBLANK(Z9),ISBLANK(AB9)),"N/A",IF(ABS((AB9-Z9)/Z9)&gt;0.25,"&gt; 25%","ok"))</f>
        <v>N/A</v>
      </c>
      <c r="CD9" s="84"/>
      <c r="CE9" s="100" t="str">
        <f aca="true" t="shared" si="10" ref="CE9:CE17">IF(OR(ISBLANK(AB9),ISBLANK(AD9)),"N/A",IF(ABS((AD9-AB9)/AB9)&gt;0.25,"&gt; 25%","ok"))</f>
        <v>N/A</v>
      </c>
      <c r="CF9" s="118"/>
      <c r="CG9" s="100" t="str">
        <f aca="true" t="shared" si="11" ref="CG9:CG17">IF(OR(ISBLANK(AD9),ISBLANK(AF9)),"N/A",IF(ABS((AF9-AD9)/AD9)&gt;0.25,"&gt; 25%","ok"))</f>
        <v>N/A</v>
      </c>
      <c r="CH9" s="117"/>
      <c r="CI9" s="100" t="str">
        <f aca="true" t="shared" si="12" ref="CI9:CI17">IF(OR(ISBLANK(AF9),ISBLANK(AH9)),"N/A",IF(ABS((AH9-AF9)/AF9)&gt;0.25,"&gt; 25%","ok"))</f>
        <v>N/A</v>
      </c>
      <c r="CJ9" s="119"/>
      <c r="CK9" s="100" t="str">
        <f aca="true" t="shared" si="13" ref="CK9:CK17">IF(OR(ISBLANK(AH9),ISBLANK(AJ9)),"N/A",IF(ABS((AJ9-AH9)/AH9)&gt;0.25,"&gt; 25%","ok"))</f>
        <v>N/A</v>
      </c>
      <c r="CL9" s="117"/>
      <c r="CM9" s="100" t="str">
        <f aca="true" t="shared" si="14" ref="CM9:CM17">IF(OR(ISBLANK(AJ9),ISBLANK(AL9)),"N/A",IF(ABS((AL9-AJ9)/AJ9)&gt;0.25,"&gt; 25%","ok"))</f>
        <v>N/A</v>
      </c>
      <c r="CN9" s="84"/>
      <c r="CO9" s="100" t="str">
        <f aca="true" t="shared" si="15" ref="CO9:CO17">IF(OR(ISBLANK(AL9),ISBLANK(AN9)),"N/A",IF(ABS((AN9-AL9)/AL9)&gt;0.25,"&gt; 25%","ok"))</f>
        <v>N/A</v>
      </c>
      <c r="CP9" s="84"/>
      <c r="CQ9" s="100" t="str">
        <f aca="true" t="shared" si="16" ref="CQ9:CQ17">IF(OR(ISBLANK(AN9),ISBLANK(AP9)),"N/A",IF(ABS((AP9-AN9)/AN9)&gt;0.25,"&gt; 25%","ok"))</f>
        <v>N/A</v>
      </c>
      <c r="CR9" s="84"/>
      <c r="CS9" s="100" t="str">
        <f aca="true" t="shared" si="17" ref="CS9:CS17">IF(OR(ISBLANK(AP9),ISBLANK(AR9)),"N/A",IF(ABS((AR9-AP9)/AP9)&gt;0.25,"&gt; 25%","ok"))</f>
        <v>N/A</v>
      </c>
      <c r="CT9" s="119"/>
      <c r="CU9" s="100" t="str">
        <f aca="true" t="shared" si="18" ref="CU9:CU17">IF(OR(ISBLANK(AR9),ISBLANK(AT9)),"N/A",IF(ABS((AT9-AR9)/AR9)&gt;0.25,"&gt; 25%","ok"))</f>
        <v>N/A</v>
      </c>
      <c r="CV9" s="84"/>
      <c r="CW9" s="100" t="str">
        <f aca="true" t="shared" si="19" ref="CW9:CW17">IF(OR(ISBLANK(AT9),ISBLANK(AV9)),"N/A",IF(ABS((AV9-AT9)/AT9)&gt;0.25,"&gt; 25%","ok"))</f>
        <v>N/A</v>
      </c>
      <c r="CX9" s="119"/>
      <c r="CY9" s="100" t="str">
        <f aca="true" t="shared" si="20" ref="CY9:CY17">IF(OR(ISBLANK(AV9),ISBLANK(AX9)),"N/A",IF(ABS((AX9-AV9)/AV9)&gt;0.25,"&gt; 25%","ok"))</f>
        <v>N/A</v>
      </c>
      <c r="CZ9" s="84"/>
      <c r="DA9" s="100" t="str">
        <f aca="true" t="shared" si="21" ref="DA9:DA27">IF(OR(ISBLANK(AX9),ISBLANK(AZ9)),"N/A",IF(ABS((AZ9-AX9)/AX9)&gt;0.25,"&gt; 25%","ok"))</f>
        <v>N/A</v>
      </c>
      <c r="DB9" s="84"/>
      <c r="DC9" s="292"/>
    </row>
    <row r="10" spans="2:107" ht="33.75" customHeight="1">
      <c r="B10" s="510">
        <v>140</v>
      </c>
      <c r="C10" s="257">
        <v>3</v>
      </c>
      <c r="D10" s="393" t="s">
        <v>573</v>
      </c>
      <c r="E10" s="257" t="s">
        <v>317</v>
      </c>
      <c r="F10" s="583"/>
      <c r="G10" s="593"/>
      <c r="H10" s="583"/>
      <c r="I10" s="593"/>
      <c r="J10" s="583"/>
      <c r="K10" s="593"/>
      <c r="L10" s="583"/>
      <c r="M10" s="593"/>
      <c r="N10" s="583"/>
      <c r="O10" s="593"/>
      <c r="P10" s="583"/>
      <c r="Q10" s="593"/>
      <c r="R10" s="583"/>
      <c r="S10" s="593"/>
      <c r="T10" s="583"/>
      <c r="U10" s="593"/>
      <c r="V10" s="583"/>
      <c r="W10" s="593"/>
      <c r="X10" s="583"/>
      <c r="Y10" s="593"/>
      <c r="Z10" s="583"/>
      <c r="AA10" s="593"/>
      <c r="AB10" s="583"/>
      <c r="AC10" s="593"/>
      <c r="AD10" s="583"/>
      <c r="AE10" s="593"/>
      <c r="AF10" s="583"/>
      <c r="AG10" s="593"/>
      <c r="AH10" s="583"/>
      <c r="AI10" s="593"/>
      <c r="AJ10" s="583"/>
      <c r="AK10" s="593"/>
      <c r="AL10" s="583"/>
      <c r="AM10" s="593"/>
      <c r="AN10" s="583"/>
      <c r="AO10" s="593"/>
      <c r="AP10" s="583"/>
      <c r="AQ10" s="593"/>
      <c r="AR10" s="583"/>
      <c r="AS10" s="593"/>
      <c r="AT10" s="583"/>
      <c r="AU10" s="593"/>
      <c r="AV10" s="583"/>
      <c r="AW10" s="593"/>
      <c r="AX10" s="583"/>
      <c r="AY10" s="593"/>
      <c r="AZ10" s="583"/>
      <c r="BA10" s="593"/>
      <c r="BD10" s="84">
        <v>3</v>
      </c>
      <c r="BE10" s="464" t="s">
        <v>646</v>
      </c>
      <c r="BF10" s="84" t="s">
        <v>570</v>
      </c>
      <c r="BG10" s="119"/>
      <c r="BH10" s="118"/>
      <c r="BI10" s="100" t="str">
        <f>IF(OR(ISBLANK(F10),ISBLANK(H10)),"N/A",IF(ABS((H10-F10)/F10)&gt;1,"&gt; 100%","ok"))</f>
        <v>N/A</v>
      </c>
      <c r="BJ10" s="117"/>
      <c r="BK10" s="100" t="str">
        <f>IF(OR(ISBLANK(H10),ISBLANK(J10)),"N/A",IF(ABS((J10-H10)/H10)&gt;0.25,"&gt; 25%","ok"))</f>
        <v>N/A</v>
      </c>
      <c r="BL10" s="118"/>
      <c r="BM10" s="100" t="str">
        <f>IF(OR(ISBLANK(J10),ISBLANK(L10)),"N/A",IF(ABS((L10-J10)/J10)&gt;0.25,"&gt; 25%","ok"))</f>
        <v>N/A</v>
      </c>
      <c r="BN10" s="118"/>
      <c r="BO10" s="100" t="str">
        <f>IF(OR(ISBLANK(L10),ISBLANK(N10)),"N/A",IF(ABS((N10-L10)/L10)&gt;0.25,"&gt; 25%","ok"))</f>
        <v>N/A</v>
      </c>
      <c r="BP10" s="118"/>
      <c r="BQ10" s="100" t="str">
        <f>IF(OR(ISBLANK(N10),ISBLANK(P10)),"N/A",IF(ABS((P10-N10)/N10)&gt;0.25,"&gt; 25%","ok"))</f>
        <v>N/A</v>
      </c>
      <c r="BR10" s="118"/>
      <c r="BS10" s="100" t="str">
        <f>IF(OR(ISBLANK(P10),ISBLANK(R10)),"N/A",IF(ABS((R10-P10)/P10)&gt;0.25,"&gt; 25%","ok"))</f>
        <v>N/A</v>
      </c>
      <c r="BT10" s="118"/>
      <c r="BU10" s="100" t="str">
        <f>IF(OR(ISBLANK(R10),ISBLANK(T10)),"N/A",IF(ABS((T10-R10)/R10)&gt;0.25,"&gt; 25%","ok"))</f>
        <v>N/A</v>
      </c>
      <c r="BV10" s="117"/>
      <c r="BW10" s="100" t="str">
        <f>IF(OR(ISBLANK(T10),ISBLANK(V10)),"N/A",IF(ABS((V10-T10)/T10)&gt;0.25,"&gt; 25%","ok"))</f>
        <v>N/A</v>
      </c>
      <c r="BX10" s="84"/>
      <c r="BY10" s="100" t="str">
        <f>IF(OR(ISBLANK(V10),ISBLANK(X10)),"N/A",IF(ABS((X10-V10)/V10)&gt;0.25,"&gt; 25%","ok"))</f>
        <v>N/A</v>
      </c>
      <c r="BZ10" s="119"/>
      <c r="CA10" s="100" t="str">
        <f>IF(OR(ISBLANK(X10),ISBLANK(Z10)),"N/A",IF(ABS((Z10-X10)/X10)&gt;0.25,"&gt; 25%","ok"))</f>
        <v>N/A</v>
      </c>
      <c r="CB10" s="117"/>
      <c r="CC10" s="100" t="str">
        <f>IF(OR(ISBLANK(Z10),ISBLANK(AB10)),"N/A",IF(ABS((AB10-Z10)/Z10)&gt;0.25,"&gt; 25%","ok"))</f>
        <v>N/A</v>
      </c>
      <c r="CD10" s="84"/>
      <c r="CE10" s="100" t="str">
        <f>IF(OR(ISBLANK(AB10),ISBLANK(AD10)),"N/A",IF(ABS((AD10-AB10)/AB10)&gt;0.25,"&gt; 25%","ok"))</f>
        <v>N/A</v>
      </c>
      <c r="CF10" s="118"/>
      <c r="CG10" s="100" t="str">
        <f>IF(OR(ISBLANK(AD10),ISBLANK(AF10)),"N/A",IF(ABS((AF10-AD10)/AD10)&gt;0.25,"&gt; 25%","ok"))</f>
        <v>N/A</v>
      </c>
      <c r="CH10" s="117"/>
      <c r="CI10" s="100" t="str">
        <f>IF(OR(ISBLANK(AF10),ISBLANK(AH10)),"N/A",IF(ABS((AH10-AF10)/AF10)&gt;0.25,"&gt; 25%","ok"))</f>
        <v>N/A</v>
      </c>
      <c r="CJ10" s="119"/>
      <c r="CK10" s="100" t="str">
        <f>IF(OR(ISBLANK(AH10),ISBLANK(AJ10)),"N/A",IF(ABS((AJ10-AH10)/AH10)&gt;0.25,"&gt; 25%","ok"))</f>
        <v>N/A</v>
      </c>
      <c r="CL10" s="117"/>
      <c r="CM10" s="100" t="str">
        <f>IF(OR(ISBLANK(AJ10),ISBLANK(AL10)),"N/A",IF(ABS((AL10-AJ10)/AJ10)&gt;0.25,"&gt; 25%","ok"))</f>
        <v>N/A</v>
      </c>
      <c r="CN10" s="84"/>
      <c r="CO10" s="100" t="str">
        <f>IF(OR(ISBLANK(AL10),ISBLANK(AN10)),"N/A",IF(ABS((AN10-AL10)/AL10)&gt;0.25,"&gt; 25%","ok"))</f>
        <v>N/A</v>
      </c>
      <c r="CP10" s="84"/>
      <c r="CQ10" s="100" t="str">
        <f>IF(OR(ISBLANK(AN10),ISBLANK(AP10)),"N/A",IF(ABS((AP10-AN10)/AN10)&gt;0.25,"&gt; 25%","ok"))</f>
        <v>N/A</v>
      </c>
      <c r="CR10" s="84"/>
      <c r="CS10" s="100" t="str">
        <f>IF(OR(ISBLANK(AP10),ISBLANK(AR10)),"N/A",IF(ABS((AR10-AP10)/AP10)&gt;0.25,"&gt; 25%","ok"))</f>
        <v>N/A</v>
      </c>
      <c r="CT10" s="119"/>
      <c r="CU10" s="100" t="str">
        <f>IF(OR(ISBLANK(AR10),ISBLANK(AT10)),"N/A",IF(ABS((AT10-AR10)/AR10)&gt;0.25,"&gt; 25%","ok"))</f>
        <v>N/A</v>
      </c>
      <c r="CV10" s="84"/>
      <c r="CW10" s="100" t="str">
        <f>IF(OR(ISBLANK(AT10),ISBLANK(AV10)),"N/A",IF(ABS((AV10-AT10)/AT10)&gt;0.25,"&gt; 25%","ok"))</f>
        <v>N/A</v>
      </c>
      <c r="CX10" s="119"/>
      <c r="CY10" s="100" t="str">
        <f>IF(OR(ISBLANK(AV10),ISBLANK(AX10)),"N/A",IF(ABS((AX10-AV10)/AV10)&gt;0.25,"&gt; 25%","ok"))</f>
        <v>N/A</v>
      </c>
      <c r="CZ10" s="84"/>
      <c r="DA10" s="100" t="str">
        <f>IF(OR(ISBLANK(AX10),ISBLANK(AZ10)),"N/A",IF(ABS((AZ10-AX10)/AX10)&gt;0.25,"&gt; 25%","ok"))</f>
        <v>N/A</v>
      </c>
      <c r="DB10" s="84"/>
      <c r="DC10" s="292"/>
    </row>
    <row r="11" spans="2:107" ht="25.5" customHeight="1">
      <c r="B11" s="235">
        <v>155</v>
      </c>
      <c r="C11" s="257">
        <v>4</v>
      </c>
      <c r="D11" s="393" t="s">
        <v>345</v>
      </c>
      <c r="E11" s="257" t="s">
        <v>317</v>
      </c>
      <c r="F11" s="583"/>
      <c r="G11" s="593"/>
      <c r="H11" s="583"/>
      <c r="I11" s="593"/>
      <c r="J11" s="583"/>
      <c r="K11" s="593"/>
      <c r="L11" s="583"/>
      <c r="M11" s="593"/>
      <c r="N11" s="583"/>
      <c r="O11" s="593"/>
      <c r="P11" s="583"/>
      <c r="Q11" s="593"/>
      <c r="R11" s="583"/>
      <c r="S11" s="593"/>
      <c r="T11" s="583"/>
      <c r="U11" s="593"/>
      <c r="V11" s="583"/>
      <c r="W11" s="593"/>
      <c r="X11" s="583"/>
      <c r="Y11" s="593"/>
      <c r="Z11" s="583"/>
      <c r="AA11" s="593"/>
      <c r="AB11" s="583"/>
      <c r="AC11" s="593"/>
      <c r="AD11" s="583"/>
      <c r="AE11" s="593"/>
      <c r="AF11" s="583"/>
      <c r="AG11" s="593"/>
      <c r="AH11" s="583"/>
      <c r="AI11" s="593"/>
      <c r="AJ11" s="583"/>
      <c r="AK11" s="593"/>
      <c r="AL11" s="583"/>
      <c r="AM11" s="593"/>
      <c r="AN11" s="583"/>
      <c r="AO11" s="593"/>
      <c r="AP11" s="583"/>
      <c r="AQ11" s="593"/>
      <c r="AR11" s="583"/>
      <c r="AS11" s="593"/>
      <c r="AT11" s="583"/>
      <c r="AU11" s="593"/>
      <c r="AV11" s="583"/>
      <c r="AW11" s="593"/>
      <c r="AX11" s="583"/>
      <c r="AY11" s="593"/>
      <c r="AZ11" s="583"/>
      <c r="BA11" s="593"/>
      <c r="BD11" s="84">
        <v>4</v>
      </c>
      <c r="BE11" s="464" t="s">
        <v>383</v>
      </c>
      <c r="BF11" s="84" t="s">
        <v>570</v>
      </c>
      <c r="BG11" s="119" t="s">
        <v>448</v>
      </c>
      <c r="BH11" s="118"/>
      <c r="BI11" s="100" t="str">
        <f aca="true" t="shared" si="22" ref="BI11:BI27">IF(OR(ISBLANK(F11),ISBLANK(H11)),"N/A",IF(ABS((H11-F11)/F11)&gt;1,"&gt; 100%","ok"))</f>
        <v>N/A</v>
      </c>
      <c r="BJ11" s="117"/>
      <c r="BK11" s="100" t="str">
        <f t="shared" si="0"/>
        <v>N/A</v>
      </c>
      <c r="BL11" s="118"/>
      <c r="BM11" s="100" t="str">
        <f t="shared" si="1"/>
        <v>N/A</v>
      </c>
      <c r="BN11" s="118"/>
      <c r="BO11" s="100" t="str">
        <f t="shared" si="2"/>
        <v>N/A</v>
      </c>
      <c r="BP11" s="118"/>
      <c r="BQ11" s="100" t="str">
        <f t="shared" si="3"/>
        <v>N/A</v>
      </c>
      <c r="BR11" s="118"/>
      <c r="BS11" s="100" t="str">
        <f t="shared" si="4"/>
        <v>N/A</v>
      </c>
      <c r="BT11" s="118"/>
      <c r="BU11" s="100" t="str">
        <f t="shared" si="5"/>
        <v>N/A</v>
      </c>
      <c r="BV11" s="117"/>
      <c r="BW11" s="100" t="str">
        <f t="shared" si="6"/>
        <v>N/A</v>
      </c>
      <c r="BX11" s="84"/>
      <c r="BY11" s="100" t="str">
        <f t="shared" si="7"/>
        <v>N/A</v>
      </c>
      <c r="BZ11" s="119"/>
      <c r="CA11" s="100" t="str">
        <f t="shared" si="8"/>
        <v>N/A</v>
      </c>
      <c r="CB11" s="117"/>
      <c r="CC11" s="100" t="str">
        <f t="shared" si="9"/>
        <v>N/A</v>
      </c>
      <c r="CD11" s="84"/>
      <c r="CE11" s="100" t="str">
        <f t="shared" si="10"/>
        <v>N/A</v>
      </c>
      <c r="CF11" s="118"/>
      <c r="CG11" s="100" t="str">
        <f t="shared" si="11"/>
        <v>N/A</v>
      </c>
      <c r="CH11" s="117"/>
      <c r="CI11" s="100" t="str">
        <f t="shared" si="12"/>
        <v>N/A</v>
      </c>
      <c r="CJ11" s="119"/>
      <c r="CK11" s="100" t="str">
        <f t="shared" si="13"/>
        <v>N/A</v>
      </c>
      <c r="CL11" s="117"/>
      <c r="CM11" s="100" t="str">
        <f t="shared" si="14"/>
        <v>N/A</v>
      </c>
      <c r="CN11" s="84"/>
      <c r="CO11" s="100" t="str">
        <f t="shared" si="15"/>
        <v>N/A</v>
      </c>
      <c r="CP11" s="84"/>
      <c r="CQ11" s="100" t="str">
        <f t="shared" si="16"/>
        <v>N/A</v>
      </c>
      <c r="CR11" s="84"/>
      <c r="CS11" s="100" t="str">
        <f t="shared" si="17"/>
        <v>N/A</v>
      </c>
      <c r="CT11" s="119"/>
      <c r="CU11" s="100" t="str">
        <f t="shared" si="18"/>
        <v>N/A</v>
      </c>
      <c r="CV11" s="84"/>
      <c r="CW11" s="100" t="str">
        <f t="shared" si="19"/>
        <v>N/A</v>
      </c>
      <c r="CX11" s="119"/>
      <c r="CY11" s="100" t="str">
        <f t="shared" si="20"/>
        <v>N/A</v>
      </c>
      <c r="CZ11" s="84"/>
      <c r="DA11" s="100" t="str">
        <f t="shared" si="21"/>
        <v>N/A</v>
      </c>
      <c r="DB11" s="84"/>
      <c r="DC11" s="292"/>
    </row>
    <row r="12" spans="2:107" ht="36.75" customHeight="1">
      <c r="B12" s="235">
        <v>142</v>
      </c>
      <c r="C12" s="257">
        <v>5</v>
      </c>
      <c r="D12" s="393" t="s">
        <v>574</v>
      </c>
      <c r="E12" s="257" t="s">
        <v>317</v>
      </c>
      <c r="F12" s="583"/>
      <c r="G12" s="593"/>
      <c r="H12" s="583"/>
      <c r="I12" s="593"/>
      <c r="J12" s="583"/>
      <c r="K12" s="593"/>
      <c r="L12" s="583"/>
      <c r="M12" s="593"/>
      <c r="N12" s="583"/>
      <c r="O12" s="593"/>
      <c r="P12" s="583"/>
      <c r="Q12" s="593"/>
      <c r="R12" s="583"/>
      <c r="S12" s="593"/>
      <c r="T12" s="583"/>
      <c r="U12" s="593"/>
      <c r="V12" s="583"/>
      <c r="W12" s="593"/>
      <c r="X12" s="583"/>
      <c r="Y12" s="593"/>
      <c r="Z12" s="583"/>
      <c r="AA12" s="593"/>
      <c r="AB12" s="583"/>
      <c r="AC12" s="593"/>
      <c r="AD12" s="583"/>
      <c r="AE12" s="593"/>
      <c r="AF12" s="583"/>
      <c r="AG12" s="593"/>
      <c r="AH12" s="583"/>
      <c r="AI12" s="593"/>
      <c r="AJ12" s="583"/>
      <c r="AK12" s="593"/>
      <c r="AL12" s="583"/>
      <c r="AM12" s="593"/>
      <c r="AN12" s="583"/>
      <c r="AO12" s="593"/>
      <c r="AP12" s="583"/>
      <c r="AQ12" s="593"/>
      <c r="AR12" s="583"/>
      <c r="AS12" s="593"/>
      <c r="AT12" s="583"/>
      <c r="AU12" s="593"/>
      <c r="AV12" s="583"/>
      <c r="AW12" s="593"/>
      <c r="AX12" s="583"/>
      <c r="AY12" s="593"/>
      <c r="AZ12" s="583"/>
      <c r="BA12" s="593"/>
      <c r="BD12" s="84">
        <v>5</v>
      </c>
      <c r="BE12" s="464" t="s">
        <v>667</v>
      </c>
      <c r="BF12" s="84" t="s">
        <v>570</v>
      </c>
      <c r="BG12" s="119"/>
      <c r="BH12" s="118"/>
      <c r="BI12" s="100" t="str">
        <f>IF(OR(ISBLANK(F12),ISBLANK(H12)),"N/A",IF(ABS((H12-F12)/F12)&gt;1,"&gt; 100%","ok"))</f>
        <v>N/A</v>
      </c>
      <c r="BJ12" s="117"/>
      <c r="BK12" s="100" t="str">
        <f>IF(OR(ISBLANK(H12),ISBLANK(J12)),"N/A",IF(ABS((J12-H12)/H12)&gt;0.25,"&gt; 25%","ok"))</f>
        <v>N/A</v>
      </c>
      <c r="BL12" s="118"/>
      <c r="BM12" s="100" t="str">
        <f>IF(OR(ISBLANK(J12),ISBLANK(L12)),"N/A",IF(ABS((L12-J12)/J12)&gt;0.25,"&gt; 25%","ok"))</f>
        <v>N/A</v>
      </c>
      <c r="BN12" s="118"/>
      <c r="BO12" s="100" t="str">
        <f>IF(OR(ISBLANK(L12),ISBLANK(N12)),"N/A",IF(ABS((N12-L12)/L12)&gt;0.25,"&gt; 25%","ok"))</f>
        <v>N/A</v>
      </c>
      <c r="BP12" s="118"/>
      <c r="BQ12" s="100" t="str">
        <f>IF(OR(ISBLANK(N12),ISBLANK(P12)),"N/A",IF(ABS((P12-N12)/N12)&gt;0.25,"&gt; 25%","ok"))</f>
        <v>N/A</v>
      </c>
      <c r="BR12" s="118"/>
      <c r="BS12" s="100" t="str">
        <f>IF(OR(ISBLANK(P12),ISBLANK(R12)),"N/A",IF(ABS((R12-P12)/P12)&gt;0.25,"&gt; 25%","ok"))</f>
        <v>N/A</v>
      </c>
      <c r="BT12" s="118"/>
      <c r="BU12" s="100" t="str">
        <f>IF(OR(ISBLANK(R12),ISBLANK(T12)),"N/A",IF(ABS((T12-R12)/R12)&gt;0.25,"&gt; 25%","ok"))</f>
        <v>N/A</v>
      </c>
      <c r="BV12" s="117"/>
      <c r="BW12" s="100" t="str">
        <f>IF(OR(ISBLANK(T12),ISBLANK(V12)),"N/A",IF(ABS((V12-T12)/T12)&gt;0.25,"&gt; 25%","ok"))</f>
        <v>N/A</v>
      </c>
      <c r="BX12" s="84"/>
      <c r="BY12" s="100" t="str">
        <f>IF(OR(ISBLANK(V12),ISBLANK(X12)),"N/A",IF(ABS((X12-V12)/V12)&gt;0.25,"&gt; 25%","ok"))</f>
        <v>N/A</v>
      </c>
      <c r="BZ12" s="119"/>
      <c r="CA12" s="100" t="str">
        <f>IF(OR(ISBLANK(X12),ISBLANK(Z12)),"N/A",IF(ABS((Z12-X12)/X12)&gt;0.25,"&gt; 25%","ok"))</f>
        <v>N/A</v>
      </c>
      <c r="CB12" s="117"/>
      <c r="CC12" s="100" t="str">
        <f>IF(OR(ISBLANK(Z12),ISBLANK(AB12)),"N/A",IF(ABS((AB12-Z12)/Z12)&gt;0.25,"&gt; 25%","ok"))</f>
        <v>N/A</v>
      </c>
      <c r="CD12" s="84"/>
      <c r="CE12" s="100" t="str">
        <f>IF(OR(ISBLANK(AB12),ISBLANK(AD12)),"N/A",IF(ABS((AD12-AB12)/AB12)&gt;0.25,"&gt; 25%","ok"))</f>
        <v>N/A</v>
      </c>
      <c r="CF12" s="118"/>
      <c r="CG12" s="100" t="str">
        <f>IF(OR(ISBLANK(AD12),ISBLANK(AF12)),"N/A",IF(ABS((AF12-AD12)/AD12)&gt;0.25,"&gt; 25%","ok"))</f>
        <v>N/A</v>
      </c>
      <c r="CH12" s="117"/>
      <c r="CI12" s="100" t="str">
        <f>IF(OR(ISBLANK(AF12),ISBLANK(AH12)),"N/A",IF(ABS((AH12-AF12)/AF12)&gt;0.25,"&gt; 25%","ok"))</f>
        <v>N/A</v>
      </c>
      <c r="CJ12" s="119"/>
      <c r="CK12" s="100" t="str">
        <f>IF(OR(ISBLANK(AH12),ISBLANK(AJ12)),"N/A",IF(ABS((AJ12-AH12)/AH12)&gt;0.25,"&gt; 25%","ok"))</f>
        <v>N/A</v>
      </c>
      <c r="CL12" s="117"/>
      <c r="CM12" s="100" t="str">
        <f>IF(OR(ISBLANK(AJ12),ISBLANK(AL12)),"N/A",IF(ABS((AL12-AJ12)/AJ12)&gt;0.25,"&gt; 25%","ok"))</f>
        <v>N/A</v>
      </c>
      <c r="CN12" s="84"/>
      <c r="CO12" s="100" t="str">
        <f>IF(OR(ISBLANK(AL12),ISBLANK(AN12)),"N/A",IF(ABS((AN12-AL12)/AL12)&gt;0.25,"&gt; 25%","ok"))</f>
        <v>N/A</v>
      </c>
      <c r="CP12" s="84"/>
      <c r="CQ12" s="100" t="str">
        <f>IF(OR(ISBLANK(AN12),ISBLANK(AP12)),"N/A",IF(ABS((AP12-AN12)/AN12)&gt;0.25,"&gt; 25%","ok"))</f>
        <v>N/A</v>
      </c>
      <c r="CR12" s="84"/>
      <c r="CS12" s="100" t="str">
        <f>IF(OR(ISBLANK(AP12),ISBLANK(AR12)),"N/A",IF(ABS((AR12-AP12)/AP12)&gt;0.25,"&gt; 25%","ok"))</f>
        <v>N/A</v>
      </c>
      <c r="CT12" s="119"/>
      <c r="CU12" s="100" t="str">
        <f>IF(OR(ISBLANK(AR12),ISBLANK(AT12)),"N/A",IF(ABS((AT12-AR12)/AR12)&gt;0.25,"&gt; 25%","ok"))</f>
        <v>N/A</v>
      </c>
      <c r="CV12" s="84"/>
      <c r="CW12" s="100" t="str">
        <f>IF(OR(ISBLANK(AT12),ISBLANK(AV12)),"N/A",IF(ABS((AV12-AT12)/AT12)&gt;0.25,"&gt; 25%","ok"))</f>
        <v>N/A</v>
      </c>
      <c r="CX12" s="119"/>
      <c r="CY12" s="100" t="str">
        <f>IF(OR(ISBLANK(AV12),ISBLANK(AX12)),"N/A",IF(ABS((AX12-AV12)/AV12)&gt;0.25,"&gt; 25%","ok"))</f>
        <v>N/A</v>
      </c>
      <c r="CZ12" s="84"/>
      <c r="DA12" s="100" t="str">
        <f>IF(OR(ISBLANK(AX12),ISBLANK(AZ12)),"N/A",IF(ABS((AZ12-AX12)/AX12)&gt;0.25,"&gt; 25%","ok"))</f>
        <v>N/A</v>
      </c>
      <c r="DB12" s="84"/>
      <c r="DC12" s="292"/>
    </row>
    <row r="13" spans="2:107" ht="36.75" customHeight="1">
      <c r="B13" s="235">
        <v>156</v>
      </c>
      <c r="C13" s="257">
        <v>6</v>
      </c>
      <c r="D13" s="666" t="s">
        <v>575</v>
      </c>
      <c r="E13" s="257" t="s">
        <v>317</v>
      </c>
      <c r="F13" s="583"/>
      <c r="G13" s="593"/>
      <c r="H13" s="583"/>
      <c r="I13" s="593"/>
      <c r="J13" s="583"/>
      <c r="K13" s="593"/>
      <c r="L13" s="583"/>
      <c r="M13" s="593"/>
      <c r="N13" s="583"/>
      <c r="O13" s="593"/>
      <c r="P13" s="583"/>
      <c r="Q13" s="593"/>
      <c r="R13" s="583"/>
      <c r="S13" s="593"/>
      <c r="T13" s="583"/>
      <c r="U13" s="593"/>
      <c r="V13" s="583"/>
      <c r="W13" s="593"/>
      <c r="X13" s="583"/>
      <c r="Y13" s="593"/>
      <c r="Z13" s="583"/>
      <c r="AA13" s="593"/>
      <c r="AB13" s="583"/>
      <c r="AC13" s="593"/>
      <c r="AD13" s="583"/>
      <c r="AE13" s="593"/>
      <c r="AF13" s="583"/>
      <c r="AG13" s="593"/>
      <c r="AH13" s="583"/>
      <c r="AI13" s="593"/>
      <c r="AJ13" s="583"/>
      <c r="AK13" s="593"/>
      <c r="AL13" s="583"/>
      <c r="AM13" s="593"/>
      <c r="AN13" s="583"/>
      <c r="AO13" s="593"/>
      <c r="AP13" s="583"/>
      <c r="AQ13" s="593"/>
      <c r="AR13" s="583"/>
      <c r="AS13" s="593"/>
      <c r="AT13" s="583"/>
      <c r="AU13" s="593"/>
      <c r="AV13" s="583"/>
      <c r="AW13" s="593"/>
      <c r="AX13" s="583"/>
      <c r="AY13" s="593"/>
      <c r="AZ13" s="583"/>
      <c r="BA13" s="593"/>
      <c r="BD13" s="84">
        <v>6</v>
      </c>
      <c r="BE13" s="464" t="s">
        <v>675</v>
      </c>
      <c r="BF13" s="84" t="s">
        <v>570</v>
      </c>
      <c r="BG13" s="119" t="s">
        <v>448</v>
      </c>
      <c r="BH13" s="118"/>
      <c r="BI13" s="100" t="str">
        <f t="shared" si="22"/>
        <v>N/A</v>
      </c>
      <c r="BJ13" s="117"/>
      <c r="BK13" s="100" t="str">
        <f t="shared" si="0"/>
        <v>N/A</v>
      </c>
      <c r="BL13" s="118"/>
      <c r="BM13" s="100" t="str">
        <f t="shared" si="1"/>
        <v>N/A</v>
      </c>
      <c r="BN13" s="118"/>
      <c r="BO13" s="100" t="str">
        <f t="shared" si="2"/>
        <v>N/A</v>
      </c>
      <c r="BP13" s="118"/>
      <c r="BQ13" s="100" t="str">
        <f t="shared" si="3"/>
        <v>N/A</v>
      </c>
      <c r="BR13" s="118"/>
      <c r="BS13" s="100" t="str">
        <f t="shared" si="4"/>
        <v>N/A</v>
      </c>
      <c r="BT13" s="118"/>
      <c r="BU13" s="100" t="str">
        <f t="shared" si="5"/>
        <v>N/A</v>
      </c>
      <c r="BV13" s="117"/>
      <c r="BW13" s="100" t="str">
        <f t="shared" si="6"/>
        <v>N/A</v>
      </c>
      <c r="BX13" s="84"/>
      <c r="BY13" s="100" t="str">
        <f t="shared" si="7"/>
        <v>N/A</v>
      </c>
      <c r="BZ13" s="119"/>
      <c r="CA13" s="100" t="str">
        <f t="shared" si="8"/>
        <v>N/A</v>
      </c>
      <c r="CB13" s="117"/>
      <c r="CC13" s="100" t="str">
        <f t="shared" si="9"/>
        <v>N/A</v>
      </c>
      <c r="CD13" s="84"/>
      <c r="CE13" s="100" t="str">
        <f t="shared" si="10"/>
        <v>N/A</v>
      </c>
      <c r="CF13" s="118"/>
      <c r="CG13" s="100" t="str">
        <f t="shared" si="11"/>
        <v>N/A</v>
      </c>
      <c r="CH13" s="117"/>
      <c r="CI13" s="100" t="str">
        <f t="shared" si="12"/>
        <v>N/A</v>
      </c>
      <c r="CJ13" s="119"/>
      <c r="CK13" s="100" t="str">
        <f t="shared" si="13"/>
        <v>N/A</v>
      </c>
      <c r="CL13" s="117"/>
      <c r="CM13" s="100" t="str">
        <f t="shared" si="14"/>
        <v>N/A</v>
      </c>
      <c r="CN13" s="84"/>
      <c r="CO13" s="100" t="str">
        <f t="shared" si="15"/>
        <v>N/A</v>
      </c>
      <c r="CP13" s="84"/>
      <c r="CQ13" s="100" t="str">
        <f t="shared" si="16"/>
        <v>N/A</v>
      </c>
      <c r="CR13" s="84"/>
      <c r="CS13" s="100" t="str">
        <f t="shared" si="17"/>
        <v>N/A</v>
      </c>
      <c r="CT13" s="119"/>
      <c r="CU13" s="100" t="str">
        <f t="shared" si="18"/>
        <v>N/A</v>
      </c>
      <c r="CV13" s="84"/>
      <c r="CW13" s="100" t="str">
        <f t="shared" si="19"/>
        <v>N/A</v>
      </c>
      <c r="CX13" s="119"/>
      <c r="CY13" s="100" t="str">
        <f t="shared" si="20"/>
        <v>N/A</v>
      </c>
      <c r="CZ13" s="84"/>
      <c r="DA13" s="100" t="str">
        <f t="shared" si="21"/>
        <v>N/A</v>
      </c>
      <c r="DB13" s="84"/>
      <c r="DC13" s="292"/>
    </row>
    <row r="14" spans="2:107" ht="22.5">
      <c r="B14" s="235">
        <v>144</v>
      </c>
      <c r="C14" s="257">
        <v>7</v>
      </c>
      <c r="D14" s="393" t="s">
        <v>576</v>
      </c>
      <c r="E14" s="257" t="s">
        <v>317</v>
      </c>
      <c r="F14" s="583"/>
      <c r="G14" s="593"/>
      <c r="H14" s="583"/>
      <c r="I14" s="593"/>
      <c r="J14" s="583"/>
      <c r="K14" s="593"/>
      <c r="L14" s="583"/>
      <c r="M14" s="593"/>
      <c r="N14" s="583"/>
      <c r="O14" s="593"/>
      <c r="P14" s="583"/>
      <c r="Q14" s="593"/>
      <c r="R14" s="583"/>
      <c r="S14" s="593"/>
      <c r="T14" s="583"/>
      <c r="U14" s="593"/>
      <c r="V14" s="583"/>
      <c r="W14" s="593"/>
      <c r="X14" s="583"/>
      <c r="Y14" s="593"/>
      <c r="Z14" s="583"/>
      <c r="AA14" s="593"/>
      <c r="AB14" s="583"/>
      <c r="AC14" s="593"/>
      <c r="AD14" s="583"/>
      <c r="AE14" s="593"/>
      <c r="AF14" s="583"/>
      <c r="AG14" s="593"/>
      <c r="AH14" s="583"/>
      <c r="AI14" s="593"/>
      <c r="AJ14" s="583"/>
      <c r="AK14" s="593"/>
      <c r="AL14" s="583"/>
      <c r="AM14" s="593"/>
      <c r="AN14" s="583"/>
      <c r="AO14" s="593"/>
      <c r="AP14" s="583"/>
      <c r="AQ14" s="593"/>
      <c r="AR14" s="583"/>
      <c r="AS14" s="593"/>
      <c r="AT14" s="583"/>
      <c r="AU14" s="593"/>
      <c r="AV14" s="583"/>
      <c r="AW14" s="593"/>
      <c r="AX14" s="583"/>
      <c r="AY14" s="593"/>
      <c r="AZ14" s="583"/>
      <c r="BA14" s="593"/>
      <c r="BD14" s="84">
        <v>7</v>
      </c>
      <c r="BE14" s="464" t="s">
        <v>649</v>
      </c>
      <c r="BF14" s="84" t="s">
        <v>570</v>
      </c>
      <c r="BG14" s="119"/>
      <c r="BH14" s="118"/>
      <c r="BI14" s="100" t="str">
        <f>IF(OR(ISBLANK(F14),ISBLANK(H14)),"N/A",IF(ABS((H14-F14)/F14)&gt;1,"&gt; 100%","ok"))</f>
        <v>N/A</v>
      </c>
      <c r="BJ14" s="117"/>
      <c r="BK14" s="100" t="str">
        <f>IF(OR(ISBLANK(H14),ISBLANK(J14)),"N/A",IF(ABS((J14-H14)/H14)&gt;0.25,"&gt; 25%","ok"))</f>
        <v>N/A</v>
      </c>
      <c r="BL14" s="118"/>
      <c r="BM14" s="100" t="str">
        <f>IF(OR(ISBLANK(J14),ISBLANK(L14)),"N/A",IF(ABS((L14-J14)/J14)&gt;0.25,"&gt; 25%","ok"))</f>
        <v>N/A</v>
      </c>
      <c r="BN14" s="118"/>
      <c r="BO14" s="100" t="str">
        <f>IF(OR(ISBLANK(L14),ISBLANK(N14)),"N/A",IF(ABS((N14-L14)/L14)&gt;0.25,"&gt; 25%","ok"))</f>
        <v>N/A</v>
      </c>
      <c r="BP14" s="118"/>
      <c r="BQ14" s="100" t="str">
        <f>IF(OR(ISBLANK(N14),ISBLANK(P14)),"N/A",IF(ABS((P14-N14)/N14)&gt;0.25,"&gt; 25%","ok"))</f>
        <v>N/A</v>
      </c>
      <c r="BR14" s="118"/>
      <c r="BS14" s="100" t="str">
        <f>IF(OR(ISBLANK(P14),ISBLANK(R14)),"N/A",IF(ABS((R14-P14)/P14)&gt;0.25,"&gt; 25%","ok"))</f>
        <v>N/A</v>
      </c>
      <c r="BT14" s="118"/>
      <c r="BU14" s="100" t="str">
        <f>IF(OR(ISBLANK(R14),ISBLANK(T14)),"N/A",IF(ABS((T14-R14)/R14)&gt;0.25,"&gt; 25%","ok"))</f>
        <v>N/A</v>
      </c>
      <c r="BV14" s="117"/>
      <c r="BW14" s="100" t="str">
        <f>IF(OR(ISBLANK(T14),ISBLANK(V14)),"N/A",IF(ABS((V14-T14)/T14)&gt;0.25,"&gt; 25%","ok"))</f>
        <v>N/A</v>
      </c>
      <c r="BX14" s="84"/>
      <c r="BY14" s="100" t="str">
        <f>IF(OR(ISBLANK(V14),ISBLANK(X14)),"N/A",IF(ABS((X14-V14)/V14)&gt;0.25,"&gt; 25%","ok"))</f>
        <v>N/A</v>
      </c>
      <c r="BZ14" s="119"/>
      <c r="CA14" s="100" t="str">
        <f>IF(OR(ISBLANK(X14),ISBLANK(Z14)),"N/A",IF(ABS((Z14-X14)/X14)&gt;0.25,"&gt; 25%","ok"))</f>
        <v>N/A</v>
      </c>
      <c r="CB14" s="117"/>
      <c r="CC14" s="100" t="str">
        <f>IF(OR(ISBLANK(Z14),ISBLANK(AB14)),"N/A",IF(ABS((AB14-Z14)/Z14)&gt;0.25,"&gt; 25%","ok"))</f>
        <v>N/A</v>
      </c>
      <c r="CD14" s="84"/>
      <c r="CE14" s="100" t="str">
        <f>IF(OR(ISBLANK(AB14),ISBLANK(AD14)),"N/A",IF(ABS((AD14-AB14)/AB14)&gt;0.25,"&gt; 25%","ok"))</f>
        <v>N/A</v>
      </c>
      <c r="CF14" s="118"/>
      <c r="CG14" s="100" t="str">
        <f>IF(OR(ISBLANK(AD14),ISBLANK(AF14)),"N/A",IF(ABS((AF14-AD14)/AD14)&gt;0.25,"&gt; 25%","ok"))</f>
        <v>N/A</v>
      </c>
      <c r="CH14" s="117"/>
      <c r="CI14" s="100" t="str">
        <f>IF(OR(ISBLANK(AF14),ISBLANK(AH14)),"N/A",IF(ABS((AH14-AF14)/AF14)&gt;0.25,"&gt; 25%","ok"))</f>
        <v>N/A</v>
      </c>
      <c r="CJ14" s="119"/>
      <c r="CK14" s="100" t="str">
        <f>IF(OR(ISBLANK(AH14),ISBLANK(AJ14)),"N/A",IF(ABS((AJ14-AH14)/AH14)&gt;0.25,"&gt; 25%","ok"))</f>
        <v>N/A</v>
      </c>
      <c r="CL14" s="117"/>
      <c r="CM14" s="100" t="str">
        <f>IF(OR(ISBLANK(AJ14),ISBLANK(AL14)),"N/A",IF(ABS((AL14-AJ14)/AJ14)&gt;0.25,"&gt; 25%","ok"))</f>
        <v>N/A</v>
      </c>
      <c r="CN14" s="84"/>
      <c r="CO14" s="100" t="str">
        <f>IF(OR(ISBLANK(AL14),ISBLANK(AN14)),"N/A",IF(ABS((AN14-AL14)/AL14)&gt;0.25,"&gt; 25%","ok"))</f>
        <v>N/A</v>
      </c>
      <c r="CP14" s="84"/>
      <c r="CQ14" s="100" t="str">
        <f>IF(OR(ISBLANK(AN14),ISBLANK(AP14)),"N/A",IF(ABS((AP14-AN14)/AN14)&gt;0.25,"&gt; 25%","ok"))</f>
        <v>N/A</v>
      </c>
      <c r="CR14" s="84"/>
      <c r="CS14" s="100" t="str">
        <f>IF(OR(ISBLANK(AP14),ISBLANK(AR14)),"N/A",IF(ABS((AR14-AP14)/AP14)&gt;0.25,"&gt; 25%","ok"))</f>
        <v>N/A</v>
      </c>
      <c r="CT14" s="119"/>
      <c r="CU14" s="100" t="str">
        <f>IF(OR(ISBLANK(AR14),ISBLANK(AT14)),"N/A",IF(ABS((AT14-AR14)/AR14)&gt;0.25,"&gt; 25%","ok"))</f>
        <v>N/A</v>
      </c>
      <c r="CV14" s="84"/>
      <c r="CW14" s="100" t="str">
        <f>IF(OR(ISBLANK(AT14),ISBLANK(AV14)),"N/A",IF(ABS((AV14-AT14)/AT14)&gt;0.25,"&gt; 25%","ok"))</f>
        <v>N/A</v>
      </c>
      <c r="CX14" s="119"/>
      <c r="CY14" s="100" t="str">
        <f>IF(OR(ISBLANK(AV14),ISBLANK(AX14)),"N/A",IF(ABS((AX14-AV14)/AV14)&gt;0.25,"&gt; 25%","ok"))</f>
        <v>N/A</v>
      </c>
      <c r="CZ14" s="84"/>
      <c r="DA14" s="100" t="str">
        <f>IF(OR(ISBLANK(AX14),ISBLANK(AZ14)),"N/A",IF(ABS((AZ14-AX14)/AX14)&gt;0.25,"&gt; 25%","ok"))</f>
        <v>N/A</v>
      </c>
      <c r="DB14" s="84"/>
      <c r="DC14" s="292"/>
    </row>
    <row r="15" spans="2:107" ht="18" customHeight="1">
      <c r="B15" s="235">
        <v>146</v>
      </c>
      <c r="C15" s="257">
        <v>8</v>
      </c>
      <c r="D15" s="393" t="s">
        <v>312</v>
      </c>
      <c r="E15" s="257" t="s">
        <v>317</v>
      </c>
      <c r="F15" s="583"/>
      <c r="G15" s="593"/>
      <c r="H15" s="583"/>
      <c r="I15" s="593"/>
      <c r="J15" s="583"/>
      <c r="K15" s="593"/>
      <c r="L15" s="583"/>
      <c r="M15" s="593"/>
      <c r="N15" s="583"/>
      <c r="O15" s="593"/>
      <c r="P15" s="583"/>
      <c r="Q15" s="593"/>
      <c r="R15" s="583"/>
      <c r="S15" s="593"/>
      <c r="T15" s="583"/>
      <c r="U15" s="593"/>
      <c r="V15" s="583"/>
      <c r="W15" s="593"/>
      <c r="X15" s="583"/>
      <c r="Y15" s="593"/>
      <c r="Z15" s="583"/>
      <c r="AA15" s="593"/>
      <c r="AB15" s="583"/>
      <c r="AC15" s="593"/>
      <c r="AD15" s="583"/>
      <c r="AE15" s="593"/>
      <c r="AF15" s="583"/>
      <c r="AG15" s="593"/>
      <c r="AH15" s="583"/>
      <c r="AI15" s="593"/>
      <c r="AJ15" s="583"/>
      <c r="AK15" s="593"/>
      <c r="AL15" s="583"/>
      <c r="AM15" s="593"/>
      <c r="AN15" s="583"/>
      <c r="AO15" s="593"/>
      <c r="AP15" s="583"/>
      <c r="AQ15" s="593"/>
      <c r="AR15" s="583"/>
      <c r="AS15" s="593"/>
      <c r="AT15" s="583"/>
      <c r="AU15" s="593"/>
      <c r="AV15" s="583"/>
      <c r="AW15" s="593"/>
      <c r="AX15" s="583"/>
      <c r="AY15" s="593"/>
      <c r="AZ15" s="583"/>
      <c r="BA15" s="593"/>
      <c r="BD15" s="84">
        <v>8</v>
      </c>
      <c r="BE15" s="464" t="s">
        <v>5</v>
      </c>
      <c r="BF15" s="84" t="s">
        <v>570</v>
      </c>
      <c r="BG15" s="119" t="s">
        <v>448</v>
      </c>
      <c r="BH15" s="118"/>
      <c r="BI15" s="100" t="str">
        <f t="shared" si="22"/>
        <v>N/A</v>
      </c>
      <c r="BJ15" s="117"/>
      <c r="BK15" s="100" t="str">
        <f t="shared" si="0"/>
        <v>N/A</v>
      </c>
      <c r="BL15" s="118"/>
      <c r="BM15" s="100" t="str">
        <f t="shared" si="1"/>
        <v>N/A</v>
      </c>
      <c r="BN15" s="118"/>
      <c r="BO15" s="100" t="str">
        <f t="shared" si="2"/>
        <v>N/A</v>
      </c>
      <c r="BP15" s="118"/>
      <c r="BQ15" s="100" t="str">
        <f t="shared" si="3"/>
        <v>N/A</v>
      </c>
      <c r="BR15" s="118"/>
      <c r="BS15" s="100" t="str">
        <f t="shared" si="4"/>
        <v>N/A</v>
      </c>
      <c r="BT15" s="118"/>
      <c r="BU15" s="100" t="str">
        <f t="shared" si="5"/>
        <v>N/A</v>
      </c>
      <c r="BV15" s="117"/>
      <c r="BW15" s="100" t="str">
        <f t="shared" si="6"/>
        <v>N/A</v>
      </c>
      <c r="BX15" s="84"/>
      <c r="BY15" s="100" t="str">
        <f t="shared" si="7"/>
        <v>N/A</v>
      </c>
      <c r="BZ15" s="119"/>
      <c r="CA15" s="100" t="str">
        <f t="shared" si="8"/>
        <v>N/A</v>
      </c>
      <c r="CB15" s="117"/>
      <c r="CC15" s="100" t="str">
        <f t="shared" si="9"/>
        <v>N/A</v>
      </c>
      <c r="CD15" s="84"/>
      <c r="CE15" s="100" t="str">
        <f t="shared" si="10"/>
        <v>N/A</v>
      </c>
      <c r="CF15" s="118"/>
      <c r="CG15" s="100" t="str">
        <f t="shared" si="11"/>
        <v>N/A</v>
      </c>
      <c r="CH15" s="117"/>
      <c r="CI15" s="100" t="str">
        <f t="shared" si="12"/>
        <v>N/A</v>
      </c>
      <c r="CJ15" s="119"/>
      <c r="CK15" s="100" t="str">
        <f t="shared" si="13"/>
        <v>N/A</v>
      </c>
      <c r="CL15" s="117"/>
      <c r="CM15" s="100" t="str">
        <f t="shared" si="14"/>
        <v>N/A</v>
      </c>
      <c r="CN15" s="84"/>
      <c r="CO15" s="100" t="str">
        <f t="shared" si="15"/>
        <v>N/A</v>
      </c>
      <c r="CP15" s="84"/>
      <c r="CQ15" s="100" t="str">
        <f t="shared" si="16"/>
        <v>N/A</v>
      </c>
      <c r="CR15" s="84"/>
      <c r="CS15" s="100" t="str">
        <f t="shared" si="17"/>
        <v>N/A</v>
      </c>
      <c r="CT15" s="119"/>
      <c r="CU15" s="100" t="str">
        <f t="shared" si="18"/>
        <v>N/A</v>
      </c>
      <c r="CV15" s="84"/>
      <c r="CW15" s="100" t="str">
        <f t="shared" si="19"/>
        <v>N/A</v>
      </c>
      <c r="CX15" s="119"/>
      <c r="CY15" s="100" t="str">
        <f t="shared" si="20"/>
        <v>N/A</v>
      </c>
      <c r="CZ15" s="84"/>
      <c r="DA15" s="100" t="str">
        <f t="shared" si="21"/>
        <v>N/A</v>
      </c>
      <c r="DB15" s="84"/>
      <c r="DC15" s="292"/>
    </row>
    <row r="16" spans="2:107" ht="18" customHeight="1">
      <c r="B16" s="235">
        <v>159</v>
      </c>
      <c r="C16" s="257">
        <v>9</v>
      </c>
      <c r="D16" s="393" t="s">
        <v>311</v>
      </c>
      <c r="E16" s="257" t="s">
        <v>317</v>
      </c>
      <c r="F16" s="583"/>
      <c r="G16" s="593"/>
      <c r="H16" s="583"/>
      <c r="I16" s="593"/>
      <c r="J16" s="583"/>
      <c r="K16" s="593"/>
      <c r="L16" s="583"/>
      <c r="M16" s="593"/>
      <c r="N16" s="583"/>
      <c r="O16" s="593"/>
      <c r="P16" s="583"/>
      <c r="Q16" s="593"/>
      <c r="R16" s="583"/>
      <c r="S16" s="593"/>
      <c r="T16" s="583"/>
      <c r="U16" s="593"/>
      <c r="V16" s="583"/>
      <c r="W16" s="593"/>
      <c r="X16" s="583"/>
      <c r="Y16" s="593"/>
      <c r="Z16" s="583"/>
      <c r="AA16" s="593"/>
      <c r="AB16" s="583"/>
      <c r="AC16" s="593"/>
      <c r="AD16" s="583"/>
      <c r="AE16" s="593"/>
      <c r="AF16" s="583"/>
      <c r="AG16" s="593"/>
      <c r="AH16" s="583"/>
      <c r="AI16" s="593"/>
      <c r="AJ16" s="583"/>
      <c r="AK16" s="593"/>
      <c r="AL16" s="583"/>
      <c r="AM16" s="593"/>
      <c r="AN16" s="583"/>
      <c r="AO16" s="593"/>
      <c r="AP16" s="583"/>
      <c r="AQ16" s="593"/>
      <c r="AR16" s="583"/>
      <c r="AS16" s="593"/>
      <c r="AT16" s="583"/>
      <c r="AU16" s="593"/>
      <c r="AV16" s="583"/>
      <c r="AW16" s="593"/>
      <c r="AX16" s="583"/>
      <c r="AY16" s="593"/>
      <c r="AZ16" s="583"/>
      <c r="BA16" s="593"/>
      <c r="BD16" s="84">
        <v>9</v>
      </c>
      <c r="BE16" s="464" t="s">
        <v>4</v>
      </c>
      <c r="BF16" s="84" t="s">
        <v>570</v>
      </c>
      <c r="BG16" s="119" t="s">
        <v>448</v>
      </c>
      <c r="BH16" s="118"/>
      <c r="BI16" s="100" t="str">
        <f t="shared" si="22"/>
        <v>N/A</v>
      </c>
      <c r="BJ16" s="117"/>
      <c r="BK16" s="100" t="str">
        <f t="shared" si="0"/>
        <v>N/A</v>
      </c>
      <c r="BL16" s="118"/>
      <c r="BM16" s="100" t="str">
        <f t="shared" si="1"/>
        <v>N/A</v>
      </c>
      <c r="BN16" s="118"/>
      <c r="BO16" s="100" t="str">
        <f t="shared" si="2"/>
        <v>N/A</v>
      </c>
      <c r="BP16" s="118"/>
      <c r="BQ16" s="100" t="str">
        <f t="shared" si="3"/>
        <v>N/A</v>
      </c>
      <c r="BR16" s="118"/>
      <c r="BS16" s="100" t="str">
        <f t="shared" si="4"/>
        <v>N/A</v>
      </c>
      <c r="BT16" s="118"/>
      <c r="BU16" s="100" t="str">
        <f t="shared" si="5"/>
        <v>N/A</v>
      </c>
      <c r="BV16" s="117"/>
      <c r="BW16" s="100" t="str">
        <f t="shared" si="6"/>
        <v>N/A</v>
      </c>
      <c r="BX16" s="84"/>
      <c r="BY16" s="100" t="str">
        <f t="shared" si="7"/>
        <v>N/A</v>
      </c>
      <c r="BZ16" s="117"/>
      <c r="CA16" s="100" t="str">
        <f t="shared" si="8"/>
        <v>N/A</v>
      </c>
      <c r="CB16" s="84"/>
      <c r="CC16" s="100" t="str">
        <f t="shared" si="9"/>
        <v>N/A</v>
      </c>
      <c r="CD16" s="118"/>
      <c r="CE16" s="100" t="str">
        <f t="shared" si="10"/>
        <v>N/A</v>
      </c>
      <c r="CF16" s="117"/>
      <c r="CG16" s="100" t="str">
        <f t="shared" si="11"/>
        <v>N/A</v>
      </c>
      <c r="CH16" s="84"/>
      <c r="CI16" s="100" t="str">
        <f t="shared" si="12"/>
        <v>N/A</v>
      </c>
      <c r="CJ16" s="118"/>
      <c r="CK16" s="100" t="str">
        <f t="shared" si="13"/>
        <v>N/A</v>
      </c>
      <c r="CL16" s="84"/>
      <c r="CM16" s="100" t="str">
        <f t="shared" si="14"/>
        <v>N/A</v>
      </c>
      <c r="CN16" s="84"/>
      <c r="CO16" s="100" t="str">
        <f t="shared" si="15"/>
        <v>N/A</v>
      </c>
      <c r="CP16" s="117"/>
      <c r="CQ16" s="100" t="str">
        <f t="shared" si="16"/>
        <v>N/A</v>
      </c>
      <c r="CR16" s="117"/>
      <c r="CS16" s="100" t="str">
        <f t="shared" si="17"/>
        <v>N/A</v>
      </c>
      <c r="CT16" s="84"/>
      <c r="CU16" s="100" t="str">
        <f t="shared" si="18"/>
        <v>N/A</v>
      </c>
      <c r="CV16" s="118"/>
      <c r="CW16" s="100" t="str">
        <f t="shared" si="19"/>
        <v>N/A</v>
      </c>
      <c r="CX16" s="84"/>
      <c r="CY16" s="100" t="str">
        <f t="shared" si="20"/>
        <v>N/A</v>
      </c>
      <c r="CZ16" s="118"/>
      <c r="DA16" s="100" t="str">
        <f t="shared" si="21"/>
        <v>N/A</v>
      </c>
      <c r="DB16" s="84"/>
      <c r="DC16" s="292"/>
    </row>
    <row r="17" spans="2:107" ht="25.5" customHeight="1">
      <c r="B17" s="235">
        <v>89</v>
      </c>
      <c r="C17" s="257">
        <v>10</v>
      </c>
      <c r="D17" s="254" t="s">
        <v>318</v>
      </c>
      <c r="E17" s="257" t="s">
        <v>317</v>
      </c>
      <c r="F17" s="583"/>
      <c r="G17" s="593"/>
      <c r="H17" s="583"/>
      <c r="I17" s="593"/>
      <c r="J17" s="583"/>
      <c r="K17" s="593"/>
      <c r="L17" s="583"/>
      <c r="M17" s="593"/>
      <c r="N17" s="583"/>
      <c r="O17" s="593"/>
      <c r="P17" s="583"/>
      <c r="Q17" s="593"/>
      <c r="R17" s="583"/>
      <c r="S17" s="593"/>
      <c r="T17" s="583"/>
      <c r="U17" s="593"/>
      <c r="V17" s="583"/>
      <c r="W17" s="593"/>
      <c r="X17" s="583"/>
      <c r="Y17" s="593"/>
      <c r="Z17" s="583"/>
      <c r="AA17" s="593"/>
      <c r="AB17" s="583"/>
      <c r="AC17" s="593"/>
      <c r="AD17" s="583"/>
      <c r="AE17" s="593"/>
      <c r="AF17" s="583"/>
      <c r="AG17" s="593"/>
      <c r="AH17" s="583"/>
      <c r="AI17" s="593"/>
      <c r="AJ17" s="583"/>
      <c r="AK17" s="593"/>
      <c r="AL17" s="583"/>
      <c r="AM17" s="593"/>
      <c r="AN17" s="583"/>
      <c r="AO17" s="593"/>
      <c r="AP17" s="583"/>
      <c r="AQ17" s="593"/>
      <c r="AR17" s="583"/>
      <c r="AS17" s="593"/>
      <c r="AT17" s="583"/>
      <c r="AU17" s="593"/>
      <c r="AV17" s="583"/>
      <c r="AW17" s="593"/>
      <c r="AX17" s="583"/>
      <c r="AY17" s="593"/>
      <c r="AZ17" s="583"/>
      <c r="BA17" s="593"/>
      <c r="BD17" s="84">
        <v>10</v>
      </c>
      <c r="BE17" s="248" t="s">
        <v>460</v>
      </c>
      <c r="BF17" s="84" t="s">
        <v>570</v>
      </c>
      <c r="BG17" s="119" t="s">
        <v>448</v>
      </c>
      <c r="BH17" s="118"/>
      <c r="BI17" s="100" t="str">
        <f t="shared" si="22"/>
        <v>N/A</v>
      </c>
      <c r="BJ17" s="117"/>
      <c r="BK17" s="100" t="str">
        <f>IF(OR(ISBLANK(H17),ISBLANK(J17)),"N/A",IF(ABS((J17-H17)/H17)&gt;0.25,"&gt; 25%","ok"))</f>
        <v>N/A</v>
      </c>
      <c r="BL17" s="118"/>
      <c r="BM17" s="100" t="str">
        <f t="shared" si="1"/>
        <v>N/A</v>
      </c>
      <c r="BN17" s="118"/>
      <c r="BO17" s="100" t="str">
        <f t="shared" si="2"/>
        <v>N/A</v>
      </c>
      <c r="BP17" s="118"/>
      <c r="BQ17" s="100" t="str">
        <f t="shared" si="3"/>
        <v>N/A</v>
      </c>
      <c r="BR17" s="118"/>
      <c r="BS17" s="100" t="str">
        <f t="shared" si="4"/>
        <v>N/A</v>
      </c>
      <c r="BT17" s="118"/>
      <c r="BU17" s="100" t="str">
        <f t="shared" si="5"/>
        <v>N/A</v>
      </c>
      <c r="BV17" s="117"/>
      <c r="BW17" s="100" t="str">
        <f t="shared" si="6"/>
        <v>N/A</v>
      </c>
      <c r="BX17" s="84"/>
      <c r="BY17" s="100" t="str">
        <f t="shared" si="7"/>
        <v>N/A</v>
      </c>
      <c r="BZ17" s="117"/>
      <c r="CA17" s="100" t="str">
        <f t="shared" si="8"/>
        <v>N/A</v>
      </c>
      <c r="CB17" s="84"/>
      <c r="CC17" s="100" t="str">
        <f t="shared" si="9"/>
        <v>N/A</v>
      </c>
      <c r="CD17" s="118"/>
      <c r="CE17" s="100" t="str">
        <f t="shared" si="10"/>
        <v>N/A</v>
      </c>
      <c r="CF17" s="117"/>
      <c r="CG17" s="100" t="str">
        <f t="shared" si="11"/>
        <v>N/A</v>
      </c>
      <c r="CH17" s="84"/>
      <c r="CI17" s="100" t="str">
        <f t="shared" si="12"/>
        <v>N/A</v>
      </c>
      <c r="CJ17" s="118"/>
      <c r="CK17" s="100" t="str">
        <f t="shared" si="13"/>
        <v>N/A</v>
      </c>
      <c r="CL17" s="84"/>
      <c r="CM17" s="100" t="str">
        <f t="shared" si="14"/>
        <v>N/A</v>
      </c>
      <c r="CN17" s="84"/>
      <c r="CO17" s="100" t="str">
        <f t="shared" si="15"/>
        <v>N/A</v>
      </c>
      <c r="CP17" s="117"/>
      <c r="CQ17" s="100" t="str">
        <f t="shared" si="16"/>
        <v>N/A</v>
      </c>
      <c r="CR17" s="117"/>
      <c r="CS17" s="100" t="str">
        <f t="shared" si="17"/>
        <v>N/A</v>
      </c>
      <c r="CT17" s="84"/>
      <c r="CU17" s="100" t="str">
        <f t="shared" si="18"/>
        <v>N/A</v>
      </c>
      <c r="CV17" s="118"/>
      <c r="CW17" s="100" t="str">
        <f t="shared" si="19"/>
        <v>N/A</v>
      </c>
      <c r="CX17" s="84"/>
      <c r="CY17" s="100" t="str">
        <f t="shared" si="20"/>
        <v>N/A</v>
      </c>
      <c r="CZ17" s="118"/>
      <c r="DA17" s="100" t="str">
        <f t="shared" si="21"/>
        <v>N/A</v>
      </c>
      <c r="DB17" s="84"/>
      <c r="DC17" s="292"/>
    </row>
    <row r="18" spans="2:107" ht="21.75" customHeight="1">
      <c r="B18" s="235">
        <v>94</v>
      </c>
      <c r="C18" s="257">
        <v>11</v>
      </c>
      <c r="D18" s="506" t="s">
        <v>164</v>
      </c>
      <c r="E18" s="257" t="s">
        <v>317</v>
      </c>
      <c r="F18" s="583"/>
      <c r="G18" s="593"/>
      <c r="H18" s="583"/>
      <c r="I18" s="593"/>
      <c r="J18" s="583"/>
      <c r="K18" s="593"/>
      <c r="L18" s="583"/>
      <c r="M18" s="593"/>
      <c r="N18" s="583"/>
      <c r="O18" s="593"/>
      <c r="P18" s="583"/>
      <c r="Q18" s="593"/>
      <c r="R18" s="583"/>
      <c r="S18" s="593"/>
      <c r="T18" s="583"/>
      <c r="U18" s="593"/>
      <c r="V18" s="583"/>
      <c r="W18" s="593"/>
      <c r="X18" s="583"/>
      <c r="Y18" s="593"/>
      <c r="Z18" s="583"/>
      <c r="AA18" s="593"/>
      <c r="AB18" s="583"/>
      <c r="AC18" s="593"/>
      <c r="AD18" s="583"/>
      <c r="AE18" s="593"/>
      <c r="AF18" s="583"/>
      <c r="AG18" s="593"/>
      <c r="AH18" s="583"/>
      <c r="AI18" s="593"/>
      <c r="AJ18" s="583"/>
      <c r="AK18" s="593"/>
      <c r="AL18" s="583"/>
      <c r="AM18" s="593"/>
      <c r="AN18" s="583"/>
      <c r="AO18" s="593"/>
      <c r="AP18" s="583"/>
      <c r="AQ18" s="593"/>
      <c r="AR18" s="583"/>
      <c r="AS18" s="593"/>
      <c r="AT18" s="583"/>
      <c r="AU18" s="593"/>
      <c r="AV18" s="583"/>
      <c r="AW18" s="593"/>
      <c r="AX18" s="583"/>
      <c r="AY18" s="593"/>
      <c r="AZ18" s="583"/>
      <c r="BA18" s="593"/>
      <c r="BD18" s="84">
        <v>11</v>
      </c>
      <c r="BE18" s="464" t="s">
        <v>676</v>
      </c>
      <c r="BF18" s="84" t="s">
        <v>570</v>
      </c>
      <c r="BG18" s="119" t="s">
        <v>448</v>
      </c>
      <c r="BH18" s="118"/>
      <c r="BI18" s="100" t="str">
        <f t="shared" si="22"/>
        <v>N/A</v>
      </c>
      <c r="BJ18" s="117"/>
      <c r="BK18" s="100" t="str">
        <f t="shared" si="0"/>
        <v>N/A</v>
      </c>
      <c r="BL18" s="118"/>
      <c r="BM18" s="100" t="str">
        <f t="shared" si="1"/>
        <v>N/A</v>
      </c>
      <c r="BN18" s="118"/>
      <c r="BO18" s="100" t="str">
        <f t="shared" si="2"/>
        <v>N/A</v>
      </c>
      <c r="BP18" s="118"/>
      <c r="BQ18" s="100" t="str">
        <f t="shared" si="3"/>
        <v>N/A</v>
      </c>
      <c r="BR18" s="118"/>
      <c r="BS18" s="100" t="str">
        <f>IF(OR(ISBLANK(P18),ISBLANK(R18)),"N/A",IF(ABS((R18-P18)/P18)&gt;0.25,"&gt; 25%","ok"))</f>
        <v>N/A</v>
      </c>
      <c r="BT18" s="118"/>
      <c r="BU18" s="100" t="str">
        <f>IF(OR(ISBLANK(R18),ISBLANK(T18)),"N/A",IF(ABS((T18-R18)/R18)&gt;0.25,"&gt; 25%","ok"))</f>
        <v>N/A</v>
      </c>
      <c r="BV18" s="117"/>
      <c r="BW18" s="100" t="str">
        <f>IF(OR(ISBLANK(T18),ISBLANK(V18)),"N/A",IF(ABS((V18-T18)/T18)&gt;0.25,"&gt; 25%","ok"))</f>
        <v>N/A</v>
      </c>
      <c r="BX18" s="84"/>
      <c r="BY18" s="100" t="str">
        <f>IF(OR(ISBLANK(V18),ISBLANK(X18)),"N/A",IF(ABS((X18-V18)/V18)&gt;0.25,"&gt; 25%","ok"))</f>
        <v>N/A</v>
      </c>
      <c r="BZ18" s="117"/>
      <c r="CA18" s="100" t="str">
        <f>IF(OR(ISBLANK(X18),ISBLANK(Z18)),"N/A",IF(ABS((Z18-X18)/X18)&gt;0.25,"&gt; 25%","ok"))</f>
        <v>N/A</v>
      </c>
      <c r="CB18" s="84"/>
      <c r="CC18" s="100" t="str">
        <f>IF(OR(ISBLANK(Z18),ISBLANK(AB18)),"N/A",IF(ABS((AB18-Z18)/Z18)&gt;0.25,"&gt; 25%","ok"))</f>
        <v>N/A</v>
      </c>
      <c r="CD18" s="118"/>
      <c r="CE18" s="100" t="str">
        <f>IF(OR(ISBLANK(AB18),ISBLANK(AD18)),"N/A",IF(ABS((AD18-AB18)/AB18)&gt;0.25,"&gt; 25%","ok"))</f>
        <v>N/A</v>
      </c>
      <c r="CF18" s="117"/>
      <c r="CG18" s="100" t="str">
        <f>IF(OR(ISBLANK(AD18),ISBLANK(AF18)),"N/A",IF(ABS((AF18-AD18)/AD18)&gt;0.25,"&gt; 25%","ok"))</f>
        <v>N/A</v>
      </c>
      <c r="CH18" s="84"/>
      <c r="CI18" s="100" t="str">
        <f>IF(OR(ISBLANK(AF18),ISBLANK(AH18)),"N/A",IF(ABS((AH18-AF18)/AF18)&gt;0.25,"&gt; 25%","ok"))</f>
        <v>N/A</v>
      </c>
      <c r="CJ18" s="118"/>
      <c r="CK18" s="100" t="str">
        <f>IF(OR(ISBLANK(AH18),ISBLANK(AJ18)),"N/A",IF(ABS((AJ18-AH18)/AH18)&gt;0.25,"&gt; 25%","ok"))</f>
        <v>N/A</v>
      </c>
      <c r="CL18" s="84"/>
      <c r="CM18" s="100" t="str">
        <f>IF(OR(ISBLANK(AJ18),ISBLANK(AL18)),"N/A",IF(ABS((AL18-AJ18)/AJ18)&gt;0.25,"&gt; 25%","ok"))</f>
        <v>N/A</v>
      </c>
      <c r="CN18" s="84"/>
      <c r="CO18" s="100" t="str">
        <f>IF(OR(ISBLANK(AL18),ISBLANK(AN18)),"N/A",IF(ABS((AN18-AL18)/AL18)&gt;0.25,"&gt; 25%","ok"))</f>
        <v>N/A</v>
      </c>
      <c r="CP18" s="117"/>
      <c r="CQ18" s="100" t="str">
        <f>IF(OR(ISBLANK(AN18),ISBLANK(AP18)),"N/A",IF(ABS((AP18-AN18)/AN18)&gt;0.25,"&gt; 25%","ok"))</f>
        <v>N/A</v>
      </c>
      <c r="CR18" s="117"/>
      <c r="CS18" s="100" t="str">
        <f>IF(OR(ISBLANK(AP18),ISBLANK(AR18)),"N/A",IF(ABS((AR18-AP18)/AP18)&gt;0.25,"&gt; 25%","ok"))</f>
        <v>N/A</v>
      </c>
      <c r="CT18" s="84"/>
      <c r="CU18" s="100" t="str">
        <f>IF(OR(ISBLANK(AR18),ISBLANK(AT18)),"N/A",IF(ABS((AT18-AR18)/AR18)&gt;0.25,"&gt; 25%","ok"))</f>
        <v>N/A</v>
      </c>
      <c r="CV18" s="118"/>
      <c r="CW18" s="100" t="str">
        <f>IF(OR(ISBLANK(AT18),ISBLANK(AV18)),"N/A",IF(ABS((AV18-AT18)/AT18)&gt;0.25,"&gt; 25%","ok"))</f>
        <v>N/A</v>
      </c>
      <c r="CX18" s="84"/>
      <c r="CY18" s="100" t="str">
        <f>IF(OR(ISBLANK(AV18),ISBLANK(AX18)),"N/A",IF(ABS((AX18-AV18)/AV18)&gt;0.25,"&gt; 25%","ok"))</f>
        <v>N/A</v>
      </c>
      <c r="CZ18" s="118"/>
      <c r="DA18" s="100" t="str">
        <f t="shared" si="21"/>
        <v>N/A</v>
      </c>
      <c r="DB18" s="84"/>
      <c r="DC18" s="292"/>
    </row>
    <row r="19" spans="2:107" ht="18" customHeight="1">
      <c r="B19" s="235">
        <v>98</v>
      </c>
      <c r="C19" s="257">
        <v>12</v>
      </c>
      <c r="D19" s="254" t="s">
        <v>551</v>
      </c>
      <c r="E19" s="257" t="s">
        <v>317</v>
      </c>
      <c r="F19" s="583"/>
      <c r="G19" s="593"/>
      <c r="H19" s="583"/>
      <c r="I19" s="593"/>
      <c r="J19" s="583"/>
      <c r="K19" s="593"/>
      <c r="L19" s="583"/>
      <c r="M19" s="593"/>
      <c r="N19" s="583"/>
      <c r="O19" s="593"/>
      <c r="P19" s="583"/>
      <c r="Q19" s="593"/>
      <c r="R19" s="583"/>
      <c r="S19" s="593"/>
      <c r="T19" s="583"/>
      <c r="U19" s="593"/>
      <c r="V19" s="583"/>
      <c r="W19" s="593"/>
      <c r="X19" s="583"/>
      <c r="Y19" s="593"/>
      <c r="Z19" s="583"/>
      <c r="AA19" s="593"/>
      <c r="AB19" s="583"/>
      <c r="AC19" s="593"/>
      <c r="AD19" s="583"/>
      <c r="AE19" s="593"/>
      <c r="AF19" s="583"/>
      <c r="AG19" s="593"/>
      <c r="AH19" s="583"/>
      <c r="AI19" s="593"/>
      <c r="AJ19" s="583"/>
      <c r="AK19" s="593"/>
      <c r="AL19" s="583"/>
      <c r="AM19" s="593"/>
      <c r="AN19" s="583"/>
      <c r="AO19" s="593"/>
      <c r="AP19" s="583"/>
      <c r="AQ19" s="593"/>
      <c r="AR19" s="583"/>
      <c r="AS19" s="593"/>
      <c r="AT19" s="583"/>
      <c r="AU19" s="593"/>
      <c r="AV19" s="583"/>
      <c r="AW19" s="593"/>
      <c r="AX19" s="583"/>
      <c r="AY19" s="593"/>
      <c r="AZ19" s="583"/>
      <c r="BA19" s="593"/>
      <c r="BD19" s="84">
        <v>12</v>
      </c>
      <c r="BE19" s="464" t="s">
        <v>452</v>
      </c>
      <c r="BF19" s="84" t="s">
        <v>570</v>
      </c>
      <c r="BG19" s="119" t="s">
        <v>448</v>
      </c>
      <c r="BH19" s="118"/>
      <c r="BI19" s="100" t="str">
        <f t="shared" si="22"/>
        <v>N/A</v>
      </c>
      <c r="BJ19" s="117"/>
      <c r="BK19" s="100" t="str">
        <f t="shared" si="0"/>
        <v>N/A</v>
      </c>
      <c r="BL19" s="118"/>
      <c r="BM19" s="100" t="str">
        <f t="shared" si="1"/>
        <v>N/A</v>
      </c>
      <c r="BN19" s="118"/>
      <c r="BO19" s="100" t="str">
        <f t="shared" si="2"/>
        <v>N/A</v>
      </c>
      <c r="BP19" s="118"/>
      <c r="BQ19" s="100" t="str">
        <f t="shared" si="3"/>
        <v>N/A</v>
      </c>
      <c r="BR19" s="118"/>
      <c r="BS19" s="100" t="str">
        <f>IF(OR(ISBLANK(P19),ISBLANK(R19)),"N/A",IF(ABS((R19-P19)/P19)&gt;0.25,"&gt; 25%","ok"))</f>
        <v>N/A</v>
      </c>
      <c r="BT19" s="118"/>
      <c r="BU19" s="100" t="str">
        <f>IF(OR(ISBLANK(R19),ISBLANK(T19)),"N/A",IF(ABS((T19-R19)/R19)&gt;0.25,"&gt; 25%","ok"))</f>
        <v>N/A</v>
      </c>
      <c r="BV19" s="117"/>
      <c r="BW19" s="100" t="str">
        <f>IF(OR(ISBLANK(T19),ISBLANK(V19)),"N/A",IF(ABS((V19-T19)/T19)&gt;0.25,"&gt; 25%","ok"))</f>
        <v>N/A</v>
      </c>
      <c r="BX19" s="84"/>
      <c r="BY19" s="100" t="str">
        <f>IF(OR(ISBLANK(V19),ISBLANK(X19)),"N/A",IF(ABS((X19-V19)/V19)&gt;0.25,"&gt; 25%","ok"))</f>
        <v>N/A</v>
      </c>
      <c r="BZ19" s="117"/>
      <c r="CA19" s="100" t="str">
        <f>IF(OR(ISBLANK(X19),ISBLANK(Z19)),"N/A",IF(ABS((Z19-X19)/X19)&gt;0.25,"&gt; 25%","ok"))</f>
        <v>N/A</v>
      </c>
      <c r="CB19" s="84"/>
      <c r="CC19" s="100" t="str">
        <f>IF(OR(ISBLANK(Z19),ISBLANK(AB19)),"N/A",IF(ABS((AB19-Z19)/Z19)&gt;0.25,"&gt; 25%","ok"))</f>
        <v>N/A</v>
      </c>
      <c r="CD19" s="118"/>
      <c r="CE19" s="100" t="str">
        <f>IF(OR(ISBLANK(AB19),ISBLANK(AD19)),"N/A",IF(ABS((AD19-AB19)/AB19)&gt;0.25,"&gt; 25%","ok"))</f>
        <v>N/A</v>
      </c>
      <c r="CF19" s="117"/>
      <c r="CG19" s="100" t="str">
        <f>IF(OR(ISBLANK(AD19),ISBLANK(AF19)),"N/A",IF(ABS((AF19-AD19)/AD19)&gt;0.25,"&gt; 25%","ok"))</f>
        <v>N/A</v>
      </c>
      <c r="CH19" s="84"/>
      <c r="CI19" s="100" t="str">
        <f>IF(OR(ISBLANK(AF19),ISBLANK(AH19)),"N/A",IF(ABS((AH19-AF19)/AF19)&gt;0.25,"&gt; 25%","ok"))</f>
        <v>N/A</v>
      </c>
      <c r="CJ19" s="118"/>
      <c r="CK19" s="100" t="str">
        <f>IF(OR(ISBLANK(AH19),ISBLANK(AJ19)),"N/A",IF(ABS((AJ19-AH19)/AH19)&gt;0.25,"&gt; 25%","ok"))</f>
        <v>N/A</v>
      </c>
      <c r="CL19" s="84"/>
      <c r="CM19" s="100" t="str">
        <f>IF(OR(ISBLANK(AJ19),ISBLANK(AL19)),"N/A",IF(ABS((AL19-AJ19)/AJ19)&gt;0.25,"&gt; 25%","ok"))</f>
        <v>N/A</v>
      </c>
      <c r="CN19" s="84"/>
      <c r="CO19" s="100" t="str">
        <f>IF(OR(ISBLANK(AL19),ISBLANK(AN19)),"N/A",IF(ABS((AN19-AL19)/AL19)&gt;0.25,"&gt; 25%","ok"))</f>
        <v>N/A</v>
      </c>
      <c r="CP19" s="117"/>
      <c r="CQ19" s="100" t="str">
        <f>IF(OR(ISBLANK(AN19),ISBLANK(AP19)),"N/A",IF(ABS((AP19-AN19)/AN19)&gt;0.25,"&gt; 25%","ok"))</f>
        <v>N/A</v>
      </c>
      <c r="CR19" s="117"/>
      <c r="CS19" s="100" t="str">
        <f>IF(OR(ISBLANK(AP19),ISBLANK(AR19)),"N/A",IF(ABS((AR19-AP19)/AP19)&gt;0.25,"&gt; 25%","ok"))</f>
        <v>N/A</v>
      </c>
      <c r="CT19" s="84"/>
      <c r="CU19" s="100" t="str">
        <f>IF(OR(ISBLANK(AR19),ISBLANK(AT19)),"N/A",IF(ABS((AT19-AR19)/AR19)&gt;0.25,"&gt; 25%","ok"))</f>
        <v>N/A</v>
      </c>
      <c r="CV19" s="118"/>
      <c r="CW19" s="100" t="str">
        <f>IF(OR(ISBLANK(AT19),ISBLANK(AV19)),"N/A",IF(ABS((AV19-AT19)/AT19)&gt;0.25,"&gt; 25%","ok"))</f>
        <v>N/A</v>
      </c>
      <c r="CX19" s="84"/>
      <c r="CY19" s="100" t="str">
        <f>IF(OR(ISBLANK(AV19),ISBLANK(AX19)),"N/A",IF(ABS((AX19-AV19)/AV19)&gt;0.25,"&gt; 25%","ok"))</f>
        <v>N/A</v>
      </c>
      <c r="CZ19" s="118"/>
      <c r="DA19" s="100" t="str">
        <f t="shared" si="21"/>
        <v>N/A</v>
      </c>
      <c r="DB19" s="84"/>
      <c r="DC19" s="292"/>
    </row>
    <row r="20" spans="2:107" ht="18" customHeight="1">
      <c r="B20" s="235">
        <v>102</v>
      </c>
      <c r="C20" s="257">
        <v>13</v>
      </c>
      <c r="D20" s="254" t="s">
        <v>552</v>
      </c>
      <c r="E20" s="257" t="s">
        <v>317</v>
      </c>
      <c r="F20" s="583"/>
      <c r="G20" s="593"/>
      <c r="H20" s="583"/>
      <c r="I20" s="593"/>
      <c r="J20" s="583"/>
      <c r="K20" s="593"/>
      <c r="L20" s="583"/>
      <c r="M20" s="593"/>
      <c r="N20" s="583"/>
      <c r="O20" s="593"/>
      <c r="P20" s="583"/>
      <c r="Q20" s="593"/>
      <c r="R20" s="583"/>
      <c r="S20" s="593"/>
      <c r="T20" s="583"/>
      <c r="U20" s="593"/>
      <c r="V20" s="583"/>
      <c r="W20" s="593"/>
      <c r="X20" s="583"/>
      <c r="Y20" s="593"/>
      <c r="Z20" s="583"/>
      <c r="AA20" s="593"/>
      <c r="AB20" s="583"/>
      <c r="AC20" s="593"/>
      <c r="AD20" s="583"/>
      <c r="AE20" s="593"/>
      <c r="AF20" s="583"/>
      <c r="AG20" s="593"/>
      <c r="AH20" s="583"/>
      <c r="AI20" s="593"/>
      <c r="AJ20" s="583"/>
      <c r="AK20" s="593"/>
      <c r="AL20" s="583"/>
      <c r="AM20" s="593"/>
      <c r="AN20" s="583"/>
      <c r="AO20" s="593"/>
      <c r="AP20" s="583"/>
      <c r="AQ20" s="593"/>
      <c r="AR20" s="583"/>
      <c r="AS20" s="593"/>
      <c r="AT20" s="583"/>
      <c r="AU20" s="593"/>
      <c r="AV20" s="583"/>
      <c r="AW20" s="593"/>
      <c r="AX20" s="583"/>
      <c r="AY20" s="593"/>
      <c r="AZ20" s="583"/>
      <c r="BA20" s="593"/>
      <c r="BD20" s="84">
        <v>13</v>
      </c>
      <c r="BE20" s="464" t="s">
        <v>453</v>
      </c>
      <c r="BF20" s="84" t="s">
        <v>570</v>
      </c>
      <c r="BG20" s="119" t="s">
        <v>448</v>
      </c>
      <c r="BH20" s="118"/>
      <c r="BI20" s="100" t="str">
        <f t="shared" si="22"/>
        <v>N/A</v>
      </c>
      <c r="BJ20" s="117"/>
      <c r="BK20" s="100" t="str">
        <f t="shared" si="0"/>
        <v>N/A</v>
      </c>
      <c r="BL20" s="119"/>
      <c r="BM20" s="100" t="str">
        <f t="shared" si="1"/>
        <v>N/A</v>
      </c>
      <c r="BN20" s="119"/>
      <c r="BO20" s="100" t="str">
        <f t="shared" si="2"/>
        <v>N/A</v>
      </c>
      <c r="BP20" s="119"/>
      <c r="BQ20" s="100" t="str">
        <f t="shared" si="3"/>
        <v>N/A</v>
      </c>
      <c r="BR20" s="119"/>
      <c r="BS20" s="100" t="str">
        <f>IF(OR(ISBLANK(P20),ISBLANK(R20)),"N/A",IF(ABS((R20-P20)/P20)&gt;0.25,"&gt; 25%","ok"))</f>
        <v>N/A</v>
      </c>
      <c r="BT20" s="119"/>
      <c r="BU20" s="100" t="str">
        <f>IF(OR(ISBLANK(R20),ISBLANK(T20)),"N/A",IF(ABS((T20-R20)/R20)&gt;0.25,"&gt; 25%","ok"))</f>
        <v>N/A</v>
      </c>
      <c r="BV20" s="117"/>
      <c r="BW20" s="100" t="str">
        <f>IF(OR(ISBLANK(T20),ISBLANK(V20)),"N/A",IF(ABS((V20-T20)/T20)&gt;0.25,"&gt; 25%","ok"))</f>
        <v>N/A</v>
      </c>
      <c r="BX20" s="84"/>
      <c r="BY20" s="100" t="str">
        <f>IF(OR(ISBLANK(V20),ISBLANK(X20)),"N/A",IF(ABS((X20-V20)/V20)&gt;0.25,"&gt; 25%","ok"))</f>
        <v>N/A</v>
      </c>
      <c r="BZ20" s="117"/>
      <c r="CA20" s="100" t="str">
        <f>IF(OR(ISBLANK(X20),ISBLANK(Z20)),"N/A",IF(ABS((Z20-X20)/X20)&gt;0.25,"&gt; 25%","ok"))</f>
        <v>N/A</v>
      </c>
      <c r="CB20" s="84"/>
      <c r="CC20" s="100" t="str">
        <f>IF(OR(ISBLANK(Z20),ISBLANK(AB20)),"N/A",IF(ABS((AB20-Z20)/Z20)&gt;0.25,"&gt; 25%","ok"))</f>
        <v>N/A</v>
      </c>
      <c r="CD20" s="118"/>
      <c r="CE20" s="100" t="str">
        <f>IF(OR(ISBLANK(AB20),ISBLANK(AD20)),"N/A",IF(ABS((AD20-AB20)/AB20)&gt;0.25,"&gt; 25%","ok"))</f>
        <v>N/A</v>
      </c>
      <c r="CF20" s="117"/>
      <c r="CG20" s="100" t="str">
        <f>IF(OR(ISBLANK(AD20),ISBLANK(AF20)),"N/A",IF(ABS((AF20-AD20)/AD20)&gt;0.25,"&gt; 25%","ok"))</f>
        <v>N/A</v>
      </c>
      <c r="CH20" s="84"/>
      <c r="CI20" s="100" t="str">
        <f>IF(OR(ISBLANK(AF20),ISBLANK(AH20)),"N/A",IF(ABS((AH20-AF20)/AF20)&gt;0.25,"&gt; 25%","ok"))</f>
        <v>N/A</v>
      </c>
      <c r="CJ20" s="118"/>
      <c r="CK20" s="100" t="str">
        <f>IF(OR(ISBLANK(AH20),ISBLANK(AJ20)),"N/A",IF(ABS((AJ20-AH20)/AH20)&gt;0.25,"&gt; 25%","ok"))</f>
        <v>N/A</v>
      </c>
      <c r="CL20" s="84"/>
      <c r="CM20" s="100" t="str">
        <f>IF(OR(ISBLANK(AJ20),ISBLANK(AL20)),"N/A",IF(ABS((AL20-AJ20)/AJ20)&gt;0.25,"&gt; 25%","ok"))</f>
        <v>N/A</v>
      </c>
      <c r="CN20" s="84"/>
      <c r="CO20" s="100" t="str">
        <f>IF(OR(ISBLANK(AL20),ISBLANK(AN20)),"N/A",IF(ABS((AN20-AL20)/AL20)&gt;0.25,"&gt; 25%","ok"))</f>
        <v>N/A</v>
      </c>
      <c r="CP20" s="117"/>
      <c r="CQ20" s="100" t="str">
        <f>IF(OR(ISBLANK(AN20),ISBLANK(AP20)),"N/A",IF(ABS((AP20-AN20)/AN20)&gt;0.25,"&gt; 25%","ok"))</f>
        <v>N/A</v>
      </c>
      <c r="CR20" s="117"/>
      <c r="CS20" s="100" t="str">
        <f>IF(OR(ISBLANK(AP20),ISBLANK(AR20)),"N/A",IF(ABS((AR20-AP20)/AP20)&gt;0.25,"&gt; 25%","ok"))</f>
        <v>N/A</v>
      </c>
      <c r="CT20" s="84"/>
      <c r="CU20" s="100" t="str">
        <f>IF(OR(ISBLANK(AR20),ISBLANK(AT20)),"N/A",IF(ABS((AT20-AR20)/AR20)&gt;0.25,"&gt; 25%","ok"))</f>
        <v>N/A</v>
      </c>
      <c r="CV20" s="118"/>
      <c r="CW20" s="100" t="str">
        <f>IF(OR(ISBLANK(AT20),ISBLANK(AV20)),"N/A",IF(ABS((AV20-AT20)/AT20)&gt;0.25,"&gt; 25%","ok"))</f>
        <v>N/A</v>
      </c>
      <c r="CX20" s="84"/>
      <c r="CY20" s="100" t="str">
        <f>IF(OR(ISBLANK(AV20),ISBLANK(AX20)),"N/A",IF(ABS((AX20-AV20)/AV20)&gt;0.25,"&gt; 25%","ok"))</f>
        <v>N/A</v>
      </c>
      <c r="CZ20" s="118"/>
      <c r="DA20" s="100" t="str">
        <f t="shared" si="21"/>
        <v>N/A</v>
      </c>
      <c r="DB20" s="84"/>
      <c r="DC20" s="292"/>
    </row>
    <row r="21" spans="2:107" ht="25.5" customHeight="1">
      <c r="B21" s="235">
        <v>109</v>
      </c>
      <c r="C21" s="257">
        <v>14</v>
      </c>
      <c r="D21" s="254" t="s">
        <v>319</v>
      </c>
      <c r="E21" s="257" t="s">
        <v>317</v>
      </c>
      <c r="F21" s="583"/>
      <c r="G21" s="593"/>
      <c r="H21" s="583"/>
      <c r="I21" s="593"/>
      <c r="J21" s="583"/>
      <c r="K21" s="593"/>
      <c r="L21" s="583"/>
      <c r="M21" s="593"/>
      <c r="N21" s="583"/>
      <c r="O21" s="593"/>
      <c r="P21" s="583"/>
      <c r="Q21" s="593"/>
      <c r="R21" s="583"/>
      <c r="S21" s="593"/>
      <c r="T21" s="583"/>
      <c r="U21" s="593"/>
      <c r="V21" s="583"/>
      <c r="W21" s="593"/>
      <c r="X21" s="583"/>
      <c r="Y21" s="593"/>
      <c r="Z21" s="583"/>
      <c r="AA21" s="593"/>
      <c r="AB21" s="583"/>
      <c r="AC21" s="593"/>
      <c r="AD21" s="583"/>
      <c r="AE21" s="593"/>
      <c r="AF21" s="583"/>
      <c r="AG21" s="593"/>
      <c r="AH21" s="583"/>
      <c r="AI21" s="593"/>
      <c r="AJ21" s="583"/>
      <c r="AK21" s="593"/>
      <c r="AL21" s="583"/>
      <c r="AM21" s="593"/>
      <c r="AN21" s="583"/>
      <c r="AO21" s="593"/>
      <c r="AP21" s="583"/>
      <c r="AQ21" s="593"/>
      <c r="AR21" s="583"/>
      <c r="AS21" s="593"/>
      <c r="AT21" s="583"/>
      <c r="AU21" s="593"/>
      <c r="AV21" s="583"/>
      <c r="AW21" s="593"/>
      <c r="AX21" s="583"/>
      <c r="AY21" s="593"/>
      <c r="AZ21" s="583"/>
      <c r="BA21" s="593"/>
      <c r="BD21" s="84">
        <v>14</v>
      </c>
      <c r="BE21" s="248" t="s">
        <v>454</v>
      </c>
      <c r="BF21" s="84" t="s">
        <v>570</v>
      </c>
      <c r="BG21" s="119" t="s">
        <v>448</v>
      </c>
      <c r="BH21" s="118"/>
      <c r="BI21" s="100" t="str">
        <f t="shared" si="22"/>
        <v>N/A</v>
      </c>
      <c r="BJ21" s="117"/>
      <c r="BK21" s="100" t="str">
        <f t="shared" si="0"/>
        <v>N/A</v>
      </c>
      <c r="BL21" s="119"/>
      <c r="BM21" s="100" t="str">
        <f t="shared" si="1"/>
        <v>N/A</v>
      </c>
      <c r="BN21" s="119"/>
      <c r="BO21" s="100" t="str">
        <f t="shared" si="2"/>
        <v>N/A</v>
      </c>
      <c r="BP21" s="119"/>
      <c r="BQ21" s="100" t="str">
        <f t="shared" si="3"/>
        <v>N/A</v>
      </c>
      <c r="BR21" s="119"/>
      <c r="BS21" s="100" t="str">
        <f>IF(OR(ISBLANK(P21),ISBLANK(R21)),"N/A",IF(ABS((R21-P21)/P21)&gt;0.25,"&gt; 25%","ok"))</f>
        <v>N/A</v>
      </c>
      <c r="BT21" s="119"/>
      <c r="BU21" s="100" t="str">
        <f>IF(OR(ISBLANK(R21),ISBLANK(T21)),"N/A",IF(ABS((T21-R21)/R21)&gt;0.25,"&gt; 25%","ok"))</f>
        <v>N/A</v>
      </c>
      <c r="BV21" s="84"/>
      <c r="BW21" s="100" t="str">
        <f>IF(OR(ISBLANK(T21),ISBLANK(V21)),"N/A",IF(ABS((V21-T21)/T21)&gt;0.25,"&gt; 25%","ok"))</f>
        <v>N/A</v>
      </c>
      <c r="BX21" s="84"/>
      <c r="BY21" s="100" t="str">
        <f>IF(OR(ISBLANK(V21),ISBLANK(X21)),"N/A",IF(ABS((X21-V21)/V21)&gt;0.25,"&gt; 25%","ok"))</f>
        <v>N/A</v>
      </c>
      <c r="BZ21" s="117"/>
      <c r="CA21" s="100" t="str">
        <f>IF(OR(ISBLANK(X21),ISBLANK(Z21)),"N/A",IF(ABS((Z21-X21)/X21)&gt;0.25,"&gt; 25%","ok"))</f>
        <v>N/A</v>
      </c>
      <c r="CB21" s="84"/>
      <c r="CC21" s="100" t="str">
        <f>IF(OR(ISBLANK(Z21),ISBLANK(AB21)),"N/A",IF(ABS((AB21-Z21)/Z21)&gt;0.25,"&gt; 25%","ok"))</f>
        <v>N/A</v>
      </c>
      <c r="CD21" s="118"/>
      <c r="CE21" s="100" t="str">
        <f>IF(OR(ISBLANK(AB21),ISBLANK(AD21)),"N/A",IF(ABS((AD21-AB21)/AB21)&gt;0.25,"&gt; 25%","ok"))</f>
        <v>N/A</v>
      </c>
      <c r="CF21" s="117"/>
      <c r="CG21" s="100" t="str">
        <f>IF(OR(ISBLANK(AD21),ISBLANK(AF21)),"N/A",IF(ABS((AF21-AD21)/AD21)&gt;0.25,"&gt; 25%","ok"))</f>
        <v>N/A</v>
      </c>
      <c r="CH21" s="84"/>
      <c r="CI21" s="100" t="str">
        <f>IF(OR(ISBLANK(AF21),ISBLANK(AH21)),"N/A",IF(ABS((AH21-AF21)/AF21)&gt;0.25,"&gt; 25%","ok"))</f>
        <v>N/A</v>
      </c>
      <c r="CJ21" s="118"/>
      <c r="CK21" s="100" t="str">
        <f>IF(OR(ISBLANK(AH21),ISBLANK(AJ21)),"N/A",IF(ABS((AJ21-AH21)/AH21)&gt;0.25,"&gt; 25%","ok"))</f>
        <v>N/A</v>
      </c>
      <c r="CL21" s="84"/>
      <c r="CM21" s="100" t="str">
        <f>IF(OR(ISBLANK(AJ21),ISBLANK(AL21)),"N/A",IF(ABS((AL21-AJ21)/AJ21)&gt;0.25,"&gt; 25%","ok"))</f>
        <v>N/A</v>
      </c>
      <c r="CN21" s="84"/>
      <c r="CO21" s="100" t="str">
        <f>IF(OR(ISBLANK(AL21),ISBLANK(AN21)),"N/A",IF(ABS((AN21-AL21)/AL21)&gt;0.25,"&gt; 25%","ok"))</f>
        <v>N/A</v>
      </c>
      <c r="CP21" s="117"/>
      <c r="CQ21" s="100" t="str">
        <f>IF(OR(ISBLANK(AN21),ISBLANK(AP21)),"N/A",IF(ABS((AP21-AN21)/AN21)&gt;0.25,"&gt; 25%","ok"))</f>
        <v>N/A</v>
      </c>
      <c r="CR21" s="117"/>
      <c r="CS21" s="100" t="str">
        <f>IF(OR(ISBLANK(AP21),ISBLANK(AR21)),"N/A",IF(ABS((AR21-AP21)/AP21)&gt;0.25,"&gt; 25%","ok"))</f>
        <v>N/A</v>
      </c>
      <c r="CT21" s="84"/>
      <c r="CU21" s="100" t="str">
        <f>IF(OR(ISBLANK(AR21),ISBLANK(AT21)),"N/A",IF(ABS((AT21-AR21)/AR21)&gt;0.25,"&gt; 25%","ok"))</f>
        <v>N/A</v>
      </c>
      <c r="CV21" s="118"/>
      <c r="CW21" s="100" t="str">
        <f>IF(OR(ISBLANK(AT21),ISBLANK(AV21)),"N/A",IF(ABS((AV21-AT21)/AT21)&gt;0.25,"&gt; 25%","ok"))</f>
        <v>N/A</v>
      </c>
      <c r="CX21" s="84"/>
      <c r="CY21" s="100" t="str">
        <f>IF(OR(ISBLANK(AV21),ISBLANK(AX21)),"N/A",IF(ABS((AX21-AV21)/AV21)&gt;0.25,"&gt; 25%","ok"))</f>
        <v>N/A</v>
      </c>
      <c r="CZ21" s="118"/>
      <c r="DA21" s="100" t="str">
        <f t="shared" si="21"/>
        <v>N/A</v>
      </c>
      <c r="DB21" s="84"/>
      <c r="DC21" s="292"/>
    </row>
    <row r="22" spans="2:107" ht="23.25" customHeight="1">
      <c r="B22" s="235">
        <v>90</v>
      </c>
      <c r="C22" s="257">
        <v>15</v>
      </c>
      <c r="D22" s="506" t="s">
        <v>164</v>
      </c>
      <c r="E22" s="257" t="s">
        <v>317</v>
      </c>
      <c r="F22" s="583"/>
      <c r="G22" s="593"/>
      <c r="H22" s="583"/>
      <c r="I22" s="593"/>
      <c r="J22" s="583"/>
      <c r="K22" s="593"/>
      <c r="L22" s="583"/>
      <c r="M22" s="593"/>
      <c r="N22" s="583"/>
      <c r="O22" s="593"/>
      <c r="P22" s="583"/>
      <c r="Q22" s="593"/>
      <c r="R22" s="583"/>
      <c r="S22" s="593"/>
      <c r="T22" s="583"/>
      <c r="U22" s="593"/>
      <c r="V22" s="583"/>
      <c r="W22" s="593"/>
      <c r="X22" s="583"/>
      <c r="Y22" s="593"/>
      <c r="Z22" s="583"/>
      <c r="AA22" s="593"/>
      <c r="AB22" s="583"/>
      <c r="AC22" s="593"/>
      <c r="AD22" s="583"/>
      <c r="AE22" s="593"/>
      <c r="AF22" s="583"/>
      <c r="AG22" s="593"/>
      <c r="AH22" s="583"/>
      <c r="AI22" s="593"/>
      <c r="AJ22" s="583"/>
      <c r="AK22" s="593"/>
      <c r="AL22" s="583"/>
      <c r="AM22" s="593"/>
      <c r="AN22" s="583"/>
      <c r="AO22" s="593"/>
      <c r="AP22" s="583"/>
      <c r="AQ22" s="593"/>
      <c r="AR22" s="583"/>
      <c r="AS22" s="593"/>
      <c r="AT22" s="583"/>
      <c r="AU22" s="593"/>
      <c r="AV22" s="583"/>
      <c r="AW22" s="593"/>
      <c r="AX22" s="583"/>
      <c r="AY22" s="593"/>
      <c r="AZ22" s="583"/>
      <c r="BA22" s="593"/>
      <c r="BD22" s="84">
        <v>15</v>
      </c>
      <c r="BE22" s="464" t="s">
        <v>676</v>
      </c>
      <c r="BF22" s="84" t="s">
        <v>570</v>
      </c>
      <c r="BG22" s="84" t="s">
        <v>448</v>
      </c>
      <c r="BH22" s="119"/>
      <c r="BI22" s="100" t="str">
        <f>IF(OR(ISBLANK(F22),ISBLANK(H22)),"N/A",IF(ABS((H22-F22)/F22)&gt;1,"&gt; 100%","ok"))</f>
        <v>N/A</v>
      </c>
      <c r="BJ22" s="84"/>
      <c r="BK22" s="100" t="str">
        <f t="shared" si="0"/>
        <v>N/A</v>
      </c>
      <c r="BL22" s="84"/>
      <c r="BM22" s="100" t="str">
        <f>IF(OR(ISBLANK(J22),ISBLANK(L22)),"N/A",IF(ABS((L22-J22)/J22)&gt;0.25,"&gt; 25%","ok"))</f>
        <v>N/A</v>
      </c>
      <c r="BN22" s="84"/>
      <c r="BO22" s="100" t="str">
        <f t="shared" si="2"/>
        <v>N/A</v>
      </c>
      <c r="BP22" s="84"/>
      <c r="BQ22" s="100" t="str">
        <f t="shared" si="3"/>
        <v>N/A</v>
      </c>
      <c r="BR22" s="84"/>
      <c r="BS22" s="100" t="str">
        <f aca="true" t="shared" si="23" ref="BS22:BS27">IF(OR(ISBLANK(P22),ISBLANK(R22)),"N/A",IF(ABS((R22-P22)/P22)&gt;0.25,"&gt; 25%","ok"))</f>
        <v>N/A</v>
      </c>
      <c r="BT22" s="84"/>
      <c r="BU22" s="100" t="str">
        <f aca="true" t="shared" si="24" ref="BU22:BU27">IF(OR(ISBLANK(R22),ISBLANK(T22)),"N/A",IF(ABS((T22-R22)/R22)&gt;0.25,"&gt; 25%","ok"))</f>
        <v>N/A</v>
      </c>
      <c r="BV22" s="84"/>
      <c r="BW22" s="100" t="str">
        <f aca="true" t="shared" si="25" ref="BW22:BW27">IF(OR(ISBLANK(T22),ISBLANK(V22)),"N/A",IF(ABS((V22-T22)/T22)&gt;0.25,"&gt; 25%","ok"))</f>
        <v>N/A</v>
      </c>
      <c r="BX22" s="84"/>
      <c r="BY22" s="100" t="str">
        <f aca="true" t="shared" si="26" ref="BY22:BY27">IF(OR(ISBLANK(V22),ISBLANK(X22)),"N/A",IF(ABS((X22-V22)/V22)&gt;0.25,"&gt; 25%","ok"))</f>
        <v>N/A</v>
      </c>
      <c r="BZ22" s="117"/>
      <c r="CA22" s="100" t="str">
        <f aca="true" t="shared" si="27" ref="CA22:CA27">IF(OR(ISBLANK(X22),ISBLANK(Z22)),"N/A",IF(ABS((Z22-X22)/X22)&gt;0.25,"&gt; 25%","ok"))</f>
        <v>N/A</v>
      </c>
      <c r="CB22" s="84"/>
      <c r="CC22" s="100" t="str">
        <f aca="true" t="shared" si="28" ref="CC22:CC27">IF(OR(ISBLANK(Z22),ISBLANK(AB22)),"N/A",IF(ABS((AB22-Z22)/Z22)&gt;0.25,"&gt; 25%","ok"))</f>
        <v>N/A</v>
      </c>
      <c r="CD22" s="118"/>
      <c r="CE22" s="100" t="str">
        <f aca="true" t="shared" si="29" ref="CE22:CE27">IF(OR(ISBLANK(AB22),ISBLANK(AD22)),"N/A",IF(ABS((AD22-AB22)/AB22)&gt;0.25,"&gt; 25%","ok"))</f>
        <v>N/A</v>
      </c>
      <c r="CF22" s="117"/>
      <c r="CG22" s="100" t="str">
        <f aca="true" t="shared" si="30" ref="CG22:CG27">IF(OR(ISBLANK(AD22),ISBLANK(AF22)),"N/A",IF(ABS((AF22-AD22)/AD22)&gt;0.25,"&gt; 25%","ok"))</f>
        <v>N/A</v>
      </c>
      <c r="CH22" s="84"/>
      <c r="CI22" s="100" t="str">
        <f aca="true" t="shared" si="31" ref="CI22:CI27">IF(OR(ISBLANK(AF22),ISBLANK(AH22)),"N/A",IF(ABS((AH22-AF22)/AF22)&gt;0.25,"&gt; 25%","ok"))</f>
        <v>N/A</v>
      </c>
      <c r="CJ22" s="118"/>
      <c r="CK22" s="100" t="str">
        <f aca="true" t="shared" si="32" ref="CK22:CK27">IF(OR(ISBLANK(AH22),ISBLANK(AJ22)),"N/A",IF(ABS((AJ22-AH22)/AH22)&gt;0.25,"&gt; 25%","ok"))</f>
        <v>N/A</v>
      </c>
      <c r="CL22" s="84"/>
      <c r="CM22" s="100" t="str">
        <f aca="true" t="shared" si="33" ref="CM22:CM27">IF(OR(ISBLANK(AJ22),ISBLANK(AL22)),"N/A",IF(ABS((AL22-AJ22)/AJ22)&gt;0.25,"&gt; 25%","ok"))</f>
        <v>N/A</v>
      </c>
      <c r="CN22" s="84"/>
      <c r="CO22" s="100" t="str">
        <f aca="true" t="shared" si="34" ref="CO22:CO27">IF(OR(ISBLANK(AL22),ISBLANK(AN22)),"N/A",IF(ABS((AN22-AL22)/AL22)&gt;0.25,"&gt; 25%","ok"))</f>
        <v>N/A</v>
      </c>
      <c r="CP22" s="117"/>
      <c r="CQ22" s="100" t="str">
        <f aca="true" t="shared" si="35" ref="CQ22:CQ27">IF(OR(ISBLANK(AN22),ISBLANK(AP22)),"N/A",IF(ABS((AP22-AN22)/AN22)&gt;0.25,"&gt; 25%","ok"))</f>
        <v>N/A</v>
      </c>
      <c r="CR22" s="117"/>
      <c r="CS22" s="100" t="str">
        <f aca="true" t="shared" si="36" ref="CS22:CS27">IF(OR(ISBLANK(AP22),ISBLANK(AR22)),"N/A",IF(ABS((AR22-AP22)/AP22)&gt;0.25,"&gt; 25%","ok"))</f>
        <v>N/A</v>
      </c>
      <c r="CT22" s="84"/>
      <c r="CU22" s="100" t="str">
        <f aca="true" t="shared" si="37" ref="CU22:CU27">IF(OR(ISBLANK(AR22),ISBLANK(AT22)),"N/A",IF(ABS((AT22-AR22)/AR22)&gt;0.25,"&gt; 25%","ok"))</f>
        <v>N/A</v>
      </c>
      <c r="CV22" s="118"/>
      <c r="CW22" s="100" t="str">
        <f aca="true" t="shared" si="38" ref="CW22:CW27">IF(OR(ISBLANK(AT22),ISBLANK(AV22)),"N/A",IF(ABS((AV22-AT22)/AT22)&gt;0.25,"&gt; 25%","ok"))</f>
        <v>N/A</v>
      </c>
      <c r="CX22" s="84"/>
      <c r="CY22" s="100" t="str">
        <f aca="true" t="shared" si="39" ref="CY22:CY27">IF(OR(ISBLANK(AV22),ISBLANK(AX22)),"N/A",IF(ABS((AX22-AV22)/AV22)&gt;0.25,"&gt; 25%","ok"))</f>
        <v>N/A</v>
      </c>
      <c r="CZ22" s="118"/>
      <c r="DA22" s="100" t="str">
        <f t="shared" si="21"/>
        <v>N/A</v>
      </c>
      <c r="DB22" s="84"/>
      <c r="DC22" s="292"/>
    </row>
    <row r="23" spans="2:107" ht="18" customHeight="1">
      <c r="B23" s="235">
        <v>91</v>
      </c>
      <c r="C23" s="257">
        <v>16</v>
      </c>
      <c r="D23" s="254" t="s">
        <v>551</v>
      </c>
      <c r="E23" s="257" t="s">
        <v>317</v>
      </c>
      <c r="F23" s="583"/>
      <c r="G23" s="593"/>
      <c r="H23" s="583"/>
      <c r="I23" s="593"/>
      <c r="J23" s="583"/>
      <c r="K23" s="593"/>
      <c r="L23" s="583"/>
      <c r="M23" s="593"/>
      <c r="N23" s="583"/>
      <c r="O23" s="593"/>
      <c r="P23" s="583"/>
      <c r="Q23" s="593"/>
      <c r="R23" s="583"/>
      <c r="S23" s="593"/>
      <c r="T23" s="583"/>
      <c r="U23" s="593"/>
      <c r="V23" s="583"/>
      <c r="W23" s="593"/>
      <c r="X23" s="583"/>
      <c r="Y23" s="593"/>
      <c r="Z23" s="583"/>
      <c r="AA23" s="593"/>
      <c r="AB23" s="583"/>
      <c r="AC23" s="593"/>
      <c r="AD23" s="583"/>
      <c r="AE23" s="593"/>
      <c r="AF23" s="583"/>
      <c r="AG23" s="593"/>
      <c r="AH23" s="583"/>
      <c r="AI23" s="593"/>
      <c r="AJ23" s="583"/>
      <c r="AK23" s="593"/>
      <c r="AL23" s="583"/>
      <c r="AM23" s="593"/>
      <c r="AN23" s="583"/>
      <c r="AO23" s="593"/>
      <c r="AP23" s="583"/>
      <c r="AQ23" s="593"/>
      <c r="AR23" s="583"/>
      <c r="AS23" s="593"/>
      <c r="AT23" s="583"/>
      <c r="AU23" s="593"/>
      <c r="AV23" s="583"/>
      <c r="AW23" s="593"/>
      <c r="AX23" s="583"/>
      <c r="AY23" s="593"/>
      <c r="AZ23" s="583"/>
      <c r="BA23" s="593"/>
      <c r="BD23" s="84">
        <v>16</v>
      </c>
      <c r="BE23" s="464" t="s">
        <v>452</v>
      </c>
      <c r="BF23" s="84" t="s">
        <v>570</v>
      </c>
      <c r="BG23" s="84" t="s">
        <v>448</v>
      </c>
      <c r="BH23" s="119"/>
      <c r="BI23" s="100" t="str">
        <f t="shared" si="22"/>
        <v>N/A</v>
      </c>
      <c r="BJ23" s="84"/>
      <c r="BK23" s="100" t="str">
        <f t="shared" si="0"/>
        <v>N/A</v>
      </c>
      <c r="BL23" s="84"/>
      <c r="BM23" s="100" t="str">
        <f t="shared" si="1"/>
        <v>N/A</v>
      </c>
      <c r="BN23" s="84"/>
      <c r="BO23" s="100" t="str">
        <f t="shared" si="2"/>
        <v>N/A</v>
      </c>
      <c r="BP23" s="84"/>
      <c r="BQ23" s="100" t="str">
        <f t="shared" si="3"/>
        <v>N/A</v>
      </c>
      <c r="BR23" s="84"/>
      <c r="BS23" s="100" t="str">
        <f t="shared" si="23"/>
        <v>N/A</v>
      </c>
      <c r="BT23" s="84"/>
      <c r="BU23" s="100" t="str">
        <f t="shared" si="24"/>
        <v>N/A</v>
      </c>
      <c r="BV23" s="84"/>
      <c r="BW23" s="100" t="str">
        <f t="shared" si="25"/>
        <v>N/A</v>
      </c>
      <c r="BX23" s="84"/>
      <c r="BY23" s="100" t="str">
        <f t="shared" si="26"/>
        <v>N/A</v>
      </c>
      <c r="BZ23" s="117"/>
      <c r="CA23" s="100" t="str">
        <f t="shared" si="27"/>
        <v>N/A</v>
      </c>
      <c r="CB23" s="84"/>
      <c r="CC23" s="100" t="str">
        <f t="shared" si="28"/>
        <v>N/A</v>
      </c>
      <c r="CD23" s="119"/>
      <c r="CE23" s="100" t="str">
        <f t="shared" si="29"/>
        <v>N/A</v>
      </c>
      <c r="CF23" s="117"/>
      <c r="CG23" s="100" t="str">
        <f t="shared" si="30"/>
        <v>N/A</v>
      </c>
      <c r="CH23" s="84"/>
      <c r="CI23" s="100" t="str">
        <f t="shared" si="31"/>
        <v>N/A</v>
      </c>
      <c r="CJ23" s="119"/>
      <c r="CK23" s="100" t="str">
        <f t="shared" si="32"/>
        <v>N/A</v>
      </c>
      <c r="CL23" s="84"/>
      <c r="CM23" s="100" t="str">
        <f t="shared" si="33"/>
        <v>N/A</v>
      </c>
      <c r="CN23" s="84"/>
      <c r="CO23" s="100" t="str">
        <f t="shared" si="34"/>
        <v>N/A</v>
      </c>
      <c r="CP23" s="117"/>
      <c r="CQ23" s="100" t="str">
        <f t="shared" si="35"/>
        <v>N/A</v>
      </c>
      <c r="CR23" s="117"/>
      <c r="CS23" s="100" t="str">
        <f t="shared" si="36"/>
        <v>N/A</v>
      </c>
      <c r="CT23" s="84"/>
      <c r="CU23" s="100" t="str">
        <f t="shared" si="37"/>
        <v>N/A</v>
      </c>
      <c r="CV23" s="119"/>
      <c r="CW23" s="100" t="str">
        <f t="shared" si="38"/>
        <v>N/A</v>
      </c>
      <c r="CX23" s="84"/>
      <c r="CY23" s="100" t="str">
        <f t="shared" si="39"/>
        <v>N/A</v>
      </c>
      <c r="CZ23" s="119"/>
      <c r="DA23" s="100" t="str">
        <f t="shared" si="21"/>
        <v>N/A</v>
      </c>
      <c r="DB23" s="84"/>
      <c r="DC23" s="292"/>
    </row>
    <row r="24" spans="2:107" ht="18" customHeight="1">
      <c r="B24" s="235">
        <v>92</v>
      </c>
      <c r="C24" s="257">
        <v>17</v>
      </c>
      <c r="D24" s="254" t="s">
        <v>552</v>
      </c>
      <c r="E24" s="257" t="s">
        <v>317</v>
      </c>
      <c r="F24" s="583"/>
      <c r="G24" s="593"/>
      <c r="H24" s="583"/>
      <c r="I24" s="593"/>
      <c r="J24" s="583"/>
      <c r="K24" s="593"/>
      <c r="L24" s="583"/>
      <c r="M24" s="593"/>
      <c r="N24" s="583"/>
      <c r="O24" s="593"/>
      <c r="P24" s="583"/>
      <c r="Q24" s="593"/>
      <c r="R24" s="583"/>
      <c r="S24" s="593"/>
      <c r="T24" s="583"/>
      <c r="U24" s="593"/>
      <c r="V24" s="583"/>
      <c r="W24" s="593"/>
      <c r="X24" s="583"/>
      <c r="Y24" s="593"/>
      <c r="Z24" s="583"/>
      <c r="AA24" s="593"/>
      <c r="AB24" s="583"/>
      <c r="AC24" s="593"/>
      <c r="AD24" s="583"/>
      <c r="AE24" s="593"/>
      <c r="AF24" s="583"/>
      <c r="AG24" s="593"/>
      <c r="AH24" s="583"/>
      <c r="AI24" s="593"/>
      <c r="AJ24" s="583"/>
      <c r="AK24" s="593"/>
      <c r="AL24" s="583"/>
      <c r="AM24" s="593"/>
      <c r="AN24" s="583"/>
      <c r="AO24" s="593"/>
      <c r="AP24" s="583"/>
      <c r="AQ24" s="593"/>
      <c r="AR24" s="583"/>
      <c r="AS24" s="593"/>
      <c r="AT24" s="583"/>
      <c r="AU24" s="593"/>
      <c r="AV24" s="583"/>
      <c r="AW24" s="593"/>
      <c r="AX24" s="583"/>
      <c r="AY24" s="593"/>
      <c r="AZ24" s="583"/>
      <c r="BA24" s="593"/>
      <c r="BD24" s="84">
        <v>17</v>
      </c>
      <c r="BE24" s="464" t="s">
        <v>453</v>
      </c>
      <c r="BF24" s="84" t="s">
        <v>570</v>
      </c>
      <c r="BG24" s="84" t="s">
        <v>448</v>
      </c>
      <c r="BH24" s="119"/>
      <c r="BI24" s="100" t="str">
        <f t="shared" si="22"/>
        <v>N/A</v>
      </c>
      <c r="BJ24" s="84"/>
      <c r="BK24" s="100" t="str">
        <f t="shared" si="0"/>
        <v>N/A</v>
      </c>
      <c r="BL24" s="84"/>
      <c r="BM24" s="100" t="str">
        <f t="shared" si="1"/>
        <v>N/A</v>
      </c>
      <c r="BN24" s="84"/>
      <c r="BO24" s="100" t="str">
        <f>IF(OR(ISBLANK(L24),ISBLANK(N24)),"N/A",IF(ABS((N24-L24)/L24)&gt;0.25,"&gt; 25%","ok"))</f>
        <v>N/A</v>
      </c>
      <c r="BP24" s="84"/>
      <c r="BQ24" s="100" t="str">
        <f t="shared" si="3"/>
        <v>N/A</v>
      </c>
      <c r="BR24" s="84"/>
      <c r="BS24" s="100" t="str">
        <f t="shared" si="23"/>
        <v>N/A</v>
      </c>
      <c r="BT24" s="84"/>
      <c r="BU24" s="100" t="str">
        <f t="shared" si="24"/>
        <v>N/A</v>
      </c>
      <c r="BV24" s="84"/>
      <c r="BW24" s="100" t="str">
        <f t="shared" si="25"/>
        <v>N/A</v>
      </c>
      <c r="BX24" s="84"/>
      <c r="BY24" s="100" t="str">
        <f t="shared" si="26"/>
        <v>N/A</v>
      </c>
      <c r="BZ24" s="117"/>
      <c r="CA24" s="100" t="str">
        <f t="shared" si="27"/>
        <v>N/A</v>
      </c>
      <c r="CB24" s="119"/>
      <c r="CC24" s="100" t="str">
        <f t="shared" si="28"/>
        <v>N/A</v>
      </c>
      <c r="CD24" s="119"/>
      <c r="CE24" s="100" t="str">
        <f t="shared" si="29"/>
        <v>N/A</v>
      </c>
      <c r="CF24" s="84"/>
      <c r="CG24" s="100" t="str">
        <f t="shared" si="30"/>
        <v>N/A</v>
      </c>
      <c r="CH24" s="119"/>
      <c r="CI24" s="100" t="str">
        <f t="shared" si="31"/>
        <v>N/A</v>
      </c>
      <c r="CJ24" s="119"/>
      <c r="CK24" s="100" t="str">
        <f t="shared" si="32"/>
        <v>N/A</v>
      </c>
      <c r="CL24" s="84"/>
      <c r="CM24" s="100" t="str">
        <f t="shared" si="33"/>
        <v>N/A</v>
      </c>
      <c r="CN24" s="84"/>
      <c r="CO24" s="100" t="str">
        <f t="shared" si="34"/>
        <v>N/A</v>
      </c>
      <c r="CP24" s="117"/>
      <c r="CQ24" s="100" t="str">
        <f t="shared" si="35"/>
        <v>N/A</v>
      </c>
      <c r="CR24" s="117"/>
      <c r="CS24" s="100" t="str">
        <f t="shared" si="36"/>
        <v>N/A</v>
      </c>
      <c r="CT24" s="119"/>
      <c r="CU24" s="100" t="str">
        <f t="shared" si="37"/>
        <v>N/A</v>
      </c>
      <c r="CV24" s="119"/>
      <c r="CW24" s="100" t="str">
        <f t="shared" si="38"/>
        <v>N/A</v>
      </c>
      <c r="CX24" s="119"/>
      <c r="CY24" s="100" t="str">
        <f t="shared" si="39"/>
        <v>N/A</v>
      </c>
      <c r="CZ24" s="119"/>
      <c r="DA24" s="100" t="str">
        <f t="shared" si="21"/>
        <v>N/A</v>
      </c>
      <c r="DB24" s="84"/>
      <c r="DC24" s="292"/>
    </row>
    <row r="25" spans="2:107" ht="25.5" customHeight="1">
      <c r="B25" s="235">
        <v>105</v>
      </c>
      <c r="C25" s="257">
        <v>18</v>
      </c>
      <c r="D25" s="267" t="s">
        <v>320</v>
      </c>
      <c r="E25" s="257" t="s">
        <v>317</v>
      </c>
      <c r="F25" s="583"/>
      <c r="G25" s="593"/>
      <c r="H25" s="583"/>
      <c r="I25" s="593"/>
      <c r="J25" s="583"/>
      <c r="K25" s="593"/>
      <c r="L25" s="583"/>
      <c r="M25" s="593"/>
      <c r="N25" s="583"/>
      <c r="O25" s="593"/>
      <c r="P25" s="583"/>
      <c r="Q25" s="593"/>
      <c r="R25" s="583"/>
      <c r="S25" s="593"/>
      <c r="T25" s="583"/>
      <c r="U25" s="593"/>
      <c r="V25" s="583"/>
      <c r="W25" s="593"/>
      <c r="X25" s="583"/>
      <c r="Y25" s="593"/>
      <c r="Z25" s="583"/>
      <c r="AA25" s="593"/>
      <c r="AB25" s="583"/>
      <c r="AC25" s="593"/>
      <c r="AD25" s="583"/>
      <c r="AE25" s="593"/>
      <c r="AF25" s="583"/>
      <c r="AG25" s="593"/>
      <c r="AH25" s="583"/>
      <c r="AI25" s="593"/>
      <c r="AJ25" s="583"/>
      <c r="AK25" s="593"/>
      <c r="AL25" s="583"/>
      <c r="AM25" s="593"/>
      <c r="AN25" s="583"/>
      <c r="AO25" s="593"/>
      <c r="AP25" s="583"/>
      <c r="AQ25" s="593"/>
      <c r="AR25" s="583"/>
      <c r="AS25" s="593"/>
      <c r="AT25" s="583"/>
      <c r="AU25" s="593"/>
      <c r="AV25" s="583"/>
      <c r="AW25" s="593"/>
      <c r="AX25" s="583"/>
      <c r="AY25" s="593"/>
      <c r="AZ25" s="583"/>
      <c r="BA25" s="593"/>
      <c r="BD25" s="84">
        <v>18</v>
      </c>
      <c r="BE25" s="268" t="s">
        <v>455</v>
      </c>
      <c r="BF25" s="84" t="s">
        <v>570</v>
      </c>
      <c r="BG25" s="84" t="s">
        <v>448</v>
      </c>
      <c r="BH25" s="119"/>
      <c r="BI25" s="100" t="str">
        <f t="shared" si="22"/>
        <v>N/A</v>
      </c>
      <c r="BJ25" s="84"/>
      <c r="BK25" s="100" t="str">
        <f t="shared" si="0"/>
        <v>N/A</v>
      </c>
      <c r="BL25" s="84"/>
      <c r="BM25" s="100" t="str">
        <f t="shared" si="1"/>
        <v>N/A</v>
      </c>
      <c r="BN25" s="84"/>
      <c r="BO25" s="100" t="str">
        <f t="shared" si="2"/>
        <v>N/A</v>
      </c>
      <c r="BP25" s="84"/>
      <c r="BQ25" s="100" t="str">
        <f t="shared" si="3"/>
        <v>N/A</v>
      </c>
      <c r="BR25" s="84"/>
      <c r="BS25" s="100" t="str">
        <f t="shared" si="23"/>
        <v>N/A</v>
      </c>
      <c r="BT25" s="84"/>
      <c r="BU25" s="100" t="str">
        <f t="shared" si="24"/>
        <v>N/A</v>
      </c>
      <c r="BV25" s="84"/>
      <c r="BW25" s="100" t="str">
        <f t="shared" si="25"/>
        <v>N/A</v>
      </c>
      <c r="BX25" s="84"/>
      <c r="BY25" s="100" t="str">
        <f t="shared" si="26"/>
        <v>N/A</v>
      </c>
      <c r="BZ25" s="117"/>
      <c r="CA25" s="100" t="str">
        <f t="shared" si="27"/>
        <v>N/A</v>
      </c>
      <c r="CB25" s="119"/>
      <c r="CC25" s="100" t="str">
        <f t="shared" si="28"/>
        <v>N/A</v>
      </c>
      <c r="CD25" s="119"/>
      <c r="CE25" s="100" t="str">
        <f t="shared" si="29"/>
        <v>N/A</v>
      </c>
      <c r="CF25" s="84"/>
      <c r="CG25" s="100" t="str">
        <f t="shared" si="30"/>
        <v>N/A</v>
      </c>
      <c r="CH25" s="119"/>
      <c r="CI25" s="100" t="str">
        <f t="shared" si="31"/>
        <v>N/A</v>
      </c>
      <c r="CJ25" s="119"/>
      <c r="CK25" s="100" t="str">
        <f t="shared" si="32"/>
        <v>N/A</v>
      </c>
      <c r="CL25" s="84"/>
      <c r="CM25" s="100" t="str">
        <f t="shared" si="33"/>
        <v>N/A</v>
      </c>
      <c r="CN25" s="84"/>
      <c r="CO25" s="100" t="str">
        <f t="shared" si="34"/>
        <v>N/A</v>
      </c>
      <c r="CP25" s="117"/>
      <c r="CQ25" s="100" t="str">
        <f t="shared" si="35"/>
        <v>N/A</v>
      </c>
      <c r="CR25" s="117"/>
      <c r="CS25" s="100" t="str">
        <f t="shared" si="36"/>
        <v>N/A</v>
      </c>
      <c r="CT25" s="119"/>
      <c r="CU25" s="100" t="str">
        <f t="shared" si="37"/>
        <v>N/A</v>
      </c>
      <c r="CV25" s="119"/>
      <c r="CW25" s="100" t="str">
        <f t="shared" si="38"/>
        <v>N/A</v>
      </c>
      <c r="CX25" s="119"/>
      <c r="CY25" s="100" t="str">
        <f t="shared" si="39"/>
        <v>N/A</v>
      </c>
      <c r="CZ25" s="119"/>
      <c r="DA25" s="100" t="str">
        <f t="shared" si="21"/>
        <v>N/A</v>
      </c>
      <c r="DB25" s="84"/>
      <c r="DC25" s="292"/>
    </row>
    <row r="26" spans="1:107" s="212" customFormat="1" ht="18" customHeight="1">
      <c r="A26" s="209"/>
      <c r="B26" s="235">
        <v>2414</v>
      </c>
      <c r="C26" s="257">
        <v>19</v>
      </c>
      <c r="D26" s="507" t="s">
        <v>321</v>
      </c>
      <c r="E26" s="257" t="s">
        <v>317</v>
      </c>
      <c r="F26" s="589"/>
      <c r="G26" s="594"/>
      <c r="H26" s="589"/>
      <c r="I26" s="594"/>
      <c r="J26" s="589"/>
      <c r="K26" s="594"/>
      <c r="L26" s="589"/>
      <c r="M26" s="594"/>
      <c r="N26" s="589"/>
      <c r="O26" s="594"/>
      <c r="P26" s="589"/>
      <c r="Q26" s="594"/>
      <c r="R26" s="589"/>
      <c r="S26" s="594"/>
      <c r="T26" s="589"/>
      <c r="U26" s="594"/>
      <c r="V26" s="589"/>
      <c r="W26" s="594"/>
      <c r="X26" s="589"/>
      <c r="Y26" s="594"/>
      <c r="Z26" s="589"/>
      <c r="AA26" s="594"/>
      <c r="AB26" s="589"/>
      <c r="AC26" s="594"/>
      <c r="AD26" s="589"/>
      <c r="AE26" s="594"/>
      <c r="AF26" s="589"/>
      <c r="AG26" s="594"/>
      <c r="AH26" s="589"/>
      <c r="AI26" s="594"/>
      <c r="AJ26" s="589"/>
      <c r="AK26" s="594"/>
      <c r="AL26" s="589"/>
      <c r="AM26" s="594"/>
      <c r="AN26" s="589"/>
      <c r="AO26" s="594"/>
      <c r="AP26" s="589"/>
      <c r="AQ26" s="594"/>
      <c r="AR26" s="589"/>
      <c r="AS26" s="594"/>
      <c r="AT26" s="589"/>
      <c r="AU26" s="594"/>
      <c r="AV26" s="589"/>
      <c r="AW26" s="594"/>
      <c r="AX26" s="589"/>
      <c r="AY26" s="594"/>
      <c r="AZ26" s="589"/>
      <c r="BA26" s="594"/>
      <c r="BC26" s="213"/>
      <c r="BD26" s="261">
        <v>19</v>
      </c>
      <c r="BE26" s="508" t="s">
        <v>461</v>
      </c>
      <c r="BF26" s="84" t="s">
        <v>570</v>
      </c>
      <c r="BG26" s="84" t="s">
        <v>448</v>
      </c>
      <c r="BH26" s="119"/>
      <c r="BI26" s="100" t="str">
        <f t="shared" si="22"/>
        <v>N/A</v>
      </c>
      <c r="BJ26" s="84"/>
      <c r="BK26" s="100" t="str">
        <f t="shared" si="0"/>
        <v>N/A</v>
      </c>
      <c r="BL26" s="84"/>
      <c r="BM26" s="100" t="str">
        <f t="shared" si="1"/>
        <v>N/A</v>
      </c>
      <c r="BN26" s="84"/>
      <c r="BO26" s="100" t="str">
        <f t="shared" si="2"/>
        <v>N/A</v>
      </c>
      <c r="BP26" s="84"/>
      <c r="BQ26" s="100" t="str">
        <f t="shared" si="3"/>
        <v>N/A</v>
      </c>
      <c r="BR26" s="84"/>
      <c r="BS26" s="100" t="str">
        <f t="shared" si="23"/>
        <v>N/A</v>
      </c>
      <c r="BT26" s="84"/>
      <c r="BU26" s="100" t="str">
        <f t="shared" si="24"/>
        <v>N/A</v>
      </c>
      <c r="BV26" s="84"/>
      <c r="BW26" s="100" t="str">
        <f t="shared" si="25"/>
        <v>N/A</v>
      </c>
      <c r="BX26" s="84"/>
      <c r="BY26" s="100" t="str">
        <f t="shared" si="26"/>
        <v>N/A</v>
      </c>
      <c r="BZ26" s="84"/>
      <c r="CA26" s="100" t="str">
        <f t="shared" si="27"/>
        <v>N/A</v>
      </c>
      <c r="CB26" s="119"/>
      <c r="CC26" s="100" t="str">
        <f t="shared" si="28"/>
        <v>N/A</v>
      </c>
      <c r="CD26" s="84"/>
      <c r="CE26" s="100" t="str">
        <f t="shared" si="29"/>
        <v>N/A</v>
      </c>
      <c r="CF26" s="84"/>
      <c r="CG26" s="100" t="str">
        <f t="shared" si="30"/>
        <v>N/A</v>
      </c>
      <c r="CH26" s="119"/>
      <c r="CI26" s="100" t="str">
        <f t="shared" si="31"/>
        <v>N/A</v>
      </c>
      <c r="CJ26" s="84"/>
      <c r="CK26" s="100" t="str">
        <f t="shared" si="32"/>
        <v>N/A</v>
      </c>
      <c r="CL26" s="84"/>
      <c r="CM26" s="100" t="str">
        <f t="shared" si="33"/>
        <v>N/A</v>
      </c>
      <c r="CN26" s="84"/>
      <c r="CO26" s="100" t="str">
        <f t="shared" si="34"/>
        <v>N/A</v>
      </c>
      <c r="CP26" s="84"/>
      <c r="CQ26" s="100" t="str">
        <f t="shared" si="35"/>
        <v>N/A</v>
      </c>
      <c r="CR26" s="84"/>
      <c r="CS26" s="100" t="str">
        <f t="shared" si="36"/>
        <v>N/A</v>
      </c>
      <c r="CT26" s="119"/>
      <c r="CU26" s="100" t="str">
        <f t="shared" si="37"/>
        <v>N/A</v>
      </c>
      <c r="CV26" s="84"/>
      <c r="CW26" s="100" t="str">
        <f t="shared" si="38"/>
        <v>N/A</v>
      </c>
      <c r="CX26" s="119"/>
      <c r="CY26" s="100" t="str">
        <f t="shared" si="39"/>
        <v>N/A</v>
      </c>
      <c r="CZ26" s="84"/>
      <c r="DA26" s="100" t="str">
        <f t="shared" si="21"/>
        <v>N/A</v>
      </c>
      <c r="DB26" s="84"/>
      <c r="DC26" s="509"/>
    </row>
    <row r="27" spans="2:107" ht="18" customHeight="1">
      <c r="B27" s="510">
        <v>160</v>
      </c>
      <c r="C27" s="257">
        <v>20</v>
      </c>
      <c r="D27" s="511" t="s">
        <v>327</v>
      </c>
      <c r="E27" s="403" t="s">
        <v>0</v>
      </c>
      <c r="F27" s="584"/>
      <c r="G27" s="595"/>
      <c r="H27" s="584"/>
      <c r="I27" s="595"/>
      <c r="J27" s="584"/>
      <c r="K27" s="595"/>
      <c r="L27" s="584"/>
      <c r="M27" s="595"/>
      <c r="N27" s="584"/>
      <c r="O27" s="595"/>
      <c r="P27" s="584"/>
      <c r="Q27" s="595"/>
      <c r="R27" s="584"/>
      <c r="S27" s="595"/>
      <c r="T27" s="584"/>
      <c r="U27" s="595"/>
      <c r="V27" s="584"/>
      <c r="W27" s="595"/>
      <c r="X27" s="584"/>
      <c r="Y27" s="595"/>
      <c r="Z27" s="584"/>
      <c r="AA27" s="595"/>
      <c r="AB27" s="584"/>
      <c r="AC27" s="595"/>
      <c r="AD27" s="584"/>
      <c r="AE27" s="595"/>
      <c r="AF27" s="584"/>
      <c r="AG27" s="595"/>
      <c r="AH27" s="584"/>
      <c r="AI27" s="595"/>
      <c r="AJ27" s="584"/>
      <c r="AK27" s="595"/>
      <c r="AL27" s="584"/>
      <c r="AM27" s="595"/>
      <c r="AN27" s="584"/>
      <c r="AO27" s="595"/>
      <c r="AP27" s="584"/>
      <c r="AQ27" s="595"/>
      <c r="AR27" s="584"/>
      <c r="AS27" s="595"/>
      <c r="AT27" s="584"/>
      <c r="AU27" s="595"/>
      <c r="AV27" s="584"/>
      <c r="AW27" s="595"/>
      <c r="AX27" s="584"/>
      <c r="AY27" s="595"/>
      <c r="AZ27" s="584"/>
      <c r="BA27" s="595"/>
      <c r="BD27" s="98">
        <v>20</v>
      </c>
      <c r="BE27" s="512" t="s">
        <v>413</v>
      </c>
      <c r="BF27" s="98" t="s">
        <v>0</v>
      </c>
      <c r="BG27" s="98" t="s">
        <v>448</v>
      </c>
      <c r="BH27" s="513"/>
      <c r="BI27" s="98" t="str">
        <f t="shared" si="22"/>
        <v>N/A</v>
      </c>
      <c r="BJ27" s="98"/>
      <c r="BK27" s="98" t="str">
        <f t="shared" si="0"/>
        <v>N/A</v>
      </c>
      <c r="BL27" s="98"/>
      <c r="BM27" s="98" t="str">
        <f t="shared" si="1"/>
        <v>N/A</v>
      </c>
      <c r="BN27" s="98"/>
      <c r="BO27" s="98" t="str">
        <f t="shared" si="2"/>
        <v>N/A</v>
      </c>
      <c r="BP27" s="98"/>
      <c r="BQ27" s="98" t="str">
        <f>IF(OR(ISBLANK(N27),ISBLANK(P27)),"N/A",IF(ABS((P27-N27)/N27)&gt;0.25,"&gt; 25%","ok"))</f>
        <v>N/A</v>
      </c>
      <c r="BR27" s="98"/>
      <c r="BS27" s="98" t="str">
        <f t="shared" si="23"/>
        <v>N/A</v>
      </c>
      <c r="BT27" s="98"/>
      <c r="BU27" s="98" t="str">
        <f t="shared" si="24"/>
        <v>N/A</v>
      </c>
      <c r="BV27" s="98"/>
      <c r="BW27" s="98" t="str">
        <f t="shared" si="25"/>
        <v>N/A</v>
      </c>
      <c r="BX27" s="98"/>
      <c r="BY27" s="98" t="str">
        <f t="shared" si="26"/>
        <v>N/A</v>
      </c>
      <c r="BZ27" s="98"/>
      <c r="CA27" s="98" t="str">
        <f t="shared" si="27"/>
        <v>N/A</v>
      </c>
      <c r="CB27" s="98"/>
      <c r="CC27" s="98" t="str">
        <f t="shared" si="28"/>
        <v>N/A</v>
      </c>
      <c r="CD27" s="98"/>
      <c r="CE27" s="98" t="str">
        <f t="shared" si="29"/>
        <v>N/A</v>
      </c>
      <c r="CF27" s="98"/>
      <c r="CG27" s="98" t="str">
        <f t="shared" si="30"/>
        <v>N/A</v>
      </c>
      <c r="CH27" s="98"/>
      <c r="CI27" s="98" t="str">
        <f t="shared" si="31"/>
        <v>N/A</v>
      </c>
      <c r="CJ27" s="98"/>
      <c r="CK27" s="98" t="str">
        <f t="shared" si="32"/>
        <v>N/A</v>
      </c>
      <c r="CL27" s="98"/>
      <c r="CM27" s="98" t="str">
        <f t="shared" si="33"/>
        <v>N/A</v>
      </c>
      <c r="CN27" s="98"/>
      <c r="CO27" s="98" t="str">
        <f t="shared" si="34"/>
        <v>N/A</v>
      </c>
      <c r="CP27" s="98"/>
      <c r="CQ27" s="98" t="str">
        <f t="shared" si="35"/>
        <v>N/A</v>
      </c>
      <c r="CR27" s="98"/>
      <c r="CS27" s="98" t="str">
        <f t="shared" si="36"/>
        <v>N/A</v>
      </c>
      <c r="CT27" s="98"/>
      <c r="CU27" s="98" t="str">
        <f t="shared" si="37"/>
        <v>N/A</v>
      </c>
      <c r="CV27" s="98"/>
      <c r="CW27" s="98" t="str">
        <f t="shared" si="38"/>
        <v>N/A</v>
      </c>
      <c r="CX27" s="98"/>
      <c r="CY27" s="98" t="str">
        <f t="shared" si="39"/>
        <v>N/A</v>
      </c>
      <c r="CZ27" s="98"/>
      <c r="DA27" s="100" t="str">
        <f t="shared" si="21"/>
        <v>N/A</v>
      </c>
      <c r="DB27" s="98"/>
      <c r="DC27" s="292"/>
    </row>
    <row r="28" spans="3:107" ht="3" customHeight="1">
      <c r="C28" s="514"/>
      <c r="D28" s="207"/>
      <c r="E28" s="515"/>
      <c r="F28" s="207"/>
      <c r="G28" s="207"/>
      <c r="H28" s="207"/>
      <c r="I28" s="206"/>
      <c r="J28" s="206"/>
      <c r="K28" s="206"/>
      <c r="L28" s="206"/>
      <c r="M28" s="206"/>
      <c r="N28" s="206"/>
      <c r="O28" s="206"/>
      <c r="P28" s="302"/>
      <c r="Q28" s="206"/>
      <c r="R28" s="302"/>
      <c r="S28" s="206"/>
      <c r="T28" s="302"/>
      <c r="U28" s="206"/>
      <c r="V28" s="302"/>
      <c r="W28" s="206"/>
      <c r="X28" s="207"/>
      <c r="Y28" s="206"/>
      <c r="Z28" s="207"/>
      <c r="AA28" s="206"/>
      <c r="AB28" s="207"/>
      <c r="AC28" s="206"/>
      <c r="AD28" s="207"/>
      <c r="AE28" s="206"/>
      <c r="AF28" s="207"/>
      <c r="AG28" s="206"/>
      <c r="AH28" s="207"/>
      <c r="AI28" s="206"/>
      <c r="AJ28" s="302"/>
      <c r="AK28" s="206"/>
      <c r="AL28" s="207"/>
      <c r="AM28" s="206"/>
      <c r="AN28" s="207"/>
      <c r="AO28" s="352"/>
      <c r="AP28" s="352"/>
      <c r="AQ28" s="352"/>
      <c r="AR28" s="352"/>
      <c r="AS28" s="352"/>
      <c r="AV28" s="352"/>
      <c r="AW28" s="352"/>
      <c r="BD28" s="516"/>
      <c r="BE28" s="99"/>
      <c r="BF28" s="517"/>
      <c r="BG28" s="51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DC28" s="292"/>
    </row>
    <row r="29" spans="3:107" ht="14.25" customHeight="1">
      <c r="C29" s="365" t="s">
        <v>547</v>
      </c>
      <c r="D29" s="274"/>
      <c r="E29" s="472"/>
      <c r="F29" s="365"/>
      <c r="G29" s="365"/>
      <c r="BD29" s="376" t="s">
        <v>669</v>
      </c>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c r="CY29" s="448"/>
      <c r="CZ29" s="448"/>
      <c r="DA29" s="448"/>
      <c r="DB29" s="448"/>
      <c r="DC29" s="292"/>
    </row>
    <row r="30" spans="3:106" ht="13.5" customHeight="1">
      <c r="C30" s="289" t="s">
        <v>466</v>
      </c>
      <c r="D30" s="877" t="s">
        <v>322</v>
      </c>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77"/>
      <c r="AO30" s="877"/>
      <c r="AP30" s="877"/>
      <c r="AQ30" s="877"/>
      <c r="AR30" s="877"/>
      <c r="AS30" s="877"/>
      <c r="AT30" s="877"/>
      <c r="AU30" s="877"/>
      <c r="AV30" s="877"/>
      <c r="AW30" s="877"/>
      <c r="AX30" s="877"/>
      <c r="AY30" s="877"/>
      <c r="AZ30" s="877"/>
      <c r="BA30" s="877"/>
      <c r="BB30" s="877"/>
      <c r="BD30" s="226" t="s">
        <v>545</v>
      </c>
      <c r="BE30" s="226" t="s">
        <v>546</v>
      </c>
      <c r="BF30" s="226" t="s">
        <v>548</v>
      </c>
      <c r="BG30" s="225">
        <v>1990</v>
      </c>
      <c r="BH30" s="225"/>
      <c r="BI30" s="226">
        <v>1995</v>
      </c>
      <c r="BJ30" s="226"/>
      <c r="BK30" s="226">
        <v>1996</v>
      </c>
      <c r="BL30" s="226"/>
      <c r="BM30" s="226">
        <v>1997</v>
      </c>
      <c r="BN30" s="226"/>
      <c r="BO30" s="226">
        <v>1998</v>
      </c>
      <c r="BP30" s="226"/>
      <c r="BQ30" s="226">
        <v>1999</v>
      </c>
      <c r="BR30" s="226"/>
      <c r="BS30" s="226">
        <v>2000</v>
      </c>
      <c r="BT30" s="226"/>
      <c r="BU30" s="226">
        <v>2001</v>
      </c>
      <c r="BV30" s="226"/>
      <c r="BW30" s="226">
        <v>2002</v>
      </c>
      <c r="BX30" s="226"/>
      <c r="BY30" s="226">
        <v>2003</v>
      </c>
      <c r="BZ30" s="226"/>
      <c r="CA30" s="226">
        <v>2004</v>
      </c>
      <c r="CB30" s="226"/>
      <c r="CC30" s="226">
        <v>2005</v>
      </c>
      <c r="CD30" s="226"/>
      <c r="CE30" s="226">
        <v>2006</v>
      </c>
      <c r="CF30" s="226"/>
      <c r="CG30" s="226">
        <v>2007</v>
      </c>
      <c r="CH30" s="226"/>
      <c r="CI30" s="226">
        <v>2008</v>
      </c>
      <c r="CJ30" s="226"/>
      <c r="CK30" s="226">
        <v>2009</v>
      </c>
      <c r="CL30" s="226"/>
      <c r="CM30" s="226">
        <v>2010</v>
      </c>
      <c r="CN30" s="226"/>
      <c r="CO30" s="226">
        <v>2011</v>
      </c>
      <c r="CP30" s="226"/>
      <c r="CQ30" s="226">
        <v>2012</v>
      </c>
      <c r="CR30" s="226"/>
      <c r="CS30" s="226">
        <v>2013</v>
      </c>
      <c r="CT30" s="226"/>
      <c r="CU30" s="226">
        <v>2014</v>
      </c>
      <c r="CV30" s="226"/>
      <c r="CW30" s="226">
        <v>2015</v>
      </c>
      <c r="CX30" s="226"/>
      <c r="CY30" s="226">
        <v>2016</v>
      </c>
      <c r="CZ30" s="226"/>
      <c r="DA30" s="226">
        <v>2017</v>
      </c>
      <c r="DB30" s="227"/>
    </row>
    <row r="31" spans="1:113" ht="30" customHeight="1">
      <c r="A31" s="291"/>
      <c r="B31" s="291"/>
      <c r="C31" s="289" t="s">
        <v>466</v>
      </c>
      <c r="D31" s="872" t="s">
        <v>185</v>
      </c>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72"/>
      <c r="AQ31" s="872"/>
      <c r="AR31" s="872"/>
      <c r="AS31" s="872"/>
      <c r="AT31" s="872"/>
      <c r="AU31" s="872"/>
      <c r="AV31" s="872"/>
      <c r="AW31" s="872"/>
      <c r="AX31" s="872"/>
      <c r="AY31" s="872"/>
      <c r="AZ31" s="872"/>
      <c r="BA31" s="872"/>
      <c r="BB31" s="872"/>
      <c r="BC31" s="407"/>
      <c r="BD31" s="386">
        <v>1</v>
      </c>
      <c r="BE31" s="503" t="s">
        <v>451</v>
      </c>
      <c r="BF31" s="84" t="s">
        <v>677</v>
      </c>
      <c r="BG31" s="84">
        <f>F8</f>
        <v>0</v>
      </c>
      <c r="BH31" s="84"/>
      <c r="BI31" s="84">
        <f>H8</f>
        <v>0</v>
      </c>
      <c r="BJ31" s="84"/>
      <c r="BK31" s="84">
        <f>J8</f>
        <v>0</v>
      </c>
      <c r="BL31" s="84"/>
      <c r="BM31" s="84">
        <f>L8</f>
        <v>0</v>
      </c>
      <c r="BN31" s="84"/>
      <c r="BO31" s="84">
        <f>N8</f>
        <v>0</v>
      </c>
      <c r="BP31" s="84"/>
      <c r="BQ31" s="84">
        <f>P8</f>
        <v>0</v>
      </c>
      <c r="BR31" s="84"/>
      <c r="BS31" s="84">
        <f>R8</f>
        <v>0</v>
      </c>
      <c r="BT31" s="84"/>
      <c r="BU31" s="84">
        <f>T8</f>
        <v>0</v>
      </c>
      <c r="BV31" s="84"/>
      <c r="BW31" s="84">
        <f>V8</f>
        <v>0</v>
      </c>
      <c r="BX31" s="84"/>
      <c r="BY31" s="84">
        <f>X8</f>
        <v>0</v>
      </c>
      <c r="BZ31" s="84"/>
      <c r="CA31" s="84">
        <f>Z8</f>
        <v>0</v>
      </c>
      <c r="CB31" s="84"/>
      <c r="CC31" s="84">
        <f>AB8</f>
        <v>0</v>
      </c>
      <c r="CD31" s="84"/>
      <c r="CE31" s="84">
        <f>AD8</f>
        <v>0</v>
      </c>
      <c r="CF31" s="84"/>
      <c r="CG31" s="84">
        <f>AF8</f>
        <v>0</v>
      </c>
      <c r="CH31" s="84"/>
      <c r="CI31" s="84">
        <f>AH8</f>
        <v>0</v>
      </c>
      <c r="CJ31" s="84"/>
      <c r="CK31" s="84">
        <f>AJ8</f>
        <v>0</v>
      </c>
      <c r="CL31" s="84"/>
      <c r="CM31" s="84">
        <f>AL8</f>
        <v>0</v>
      </c>
      <c r="CN31" s="84"/>
      <c r="CO31" s="84">
        <f>AN8</f>
        <v>0</v>
      </c>
      <c r="CP31" s="84"/>
      <c r="CQ31" s="84">
        <f>AP8</f>
        <v>0</v>
      </c>
      <c r="CR31" s="84"/>
      <c r="CS31" s="84">
        <f>AR8</f>
        <v>0</v>
      </c>
      <c r="CT31" s="84"/>
      <c r="CU31" s="84">
        <f>AT8</f>
        <v>0</v>
      </c>
      <c r="CV31" s="84"/>
      <c r="CW31" s="84">
        <f>AV8</f>
        <v>0</v>
      </c>
      <c r="CX31" s="84"/>
      <c r="CY31" s="84">
        <f>AX8</f>
        <v>0</v>
      </c>
      <c r="CZ31" s="84"/>
      <c r="DA31" s="84">
        <f>AZ8</f>
        <v>0</v>
      </c>
      <c r="DB31" s="249"/>
      <c r="DC31" s="292"/>
      <c r="DD31" s="292"/>
      <c r="DE31" s="292"/>
      <c r="DF31" s="292"/>
      <c r="DG31" s="292"/>
      <c r="DH31" s="292"/>
      <c r="DI31" s="292"/>
    </row>
    <row r="32" spans="1:113" ht="30" customHeight="1">
      <c r="A32" s="291"/>
      <c r="B32" s="291"/>
      <c r="C32" s="289" t="s">
        <v>466</v>
      </c>
      <c r="D32" s="877" t="s">
        <v>504</v>
      </c>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7"/>
      <c r="AS32" s="877"/>
      <c r="AT32" s="877"/>
      <c r="AU32" s="877"/>
      <c r="AV32" s="877"/>
      <c r="AW32" s="877"/>
      <c r="AX32" s="877"/>
      <c r="AY32" s="877"/>
      <c r="AZ32" s="877"/>
      <c r="BA32" s="877"/>
      <c r="BB32" s="877"/>
      <c r="BC32" s="407"/>
      <c r="BD32" s="315">
        <v>21</v>
      </c>
      <c r="BE32" s="297" t="s">
        <v>678</v>
      </c>
      <c r="BF32" s="84" t="s">
        <v>677</v>
      </c>
      <c r="BG32" s="84">
        <f>SUM(F9:F12)+SUM(F14:F16)</f>
        <v>0</v>
      </c>
      <c r="BH32" s="84"/>
      <c r="BI32" s="84">
        <f aca="true" t="shared" si="40" ref="BI32:DA32">SUM(H9:H12)+SUM(H14:H16)</f>
        <v>0</v>
      </c>
      <c r="BJ32" s="84"/>
      <c r="BK32" s="84">
        <f t="shared" si="40"/>
        <v>0</v>
      </c>
      <c r="BL32" s="84"/>
      <c r="BM32" s="84">
        <f t="shared" si="40"/>
        <v>0</v>
      </c>
      <c r="BN32" s="84"/>
      <c r="BO32" s="84">
        <f t="shared" si="40"/>
        <v>0</v>
      </c>
      <c r="BP32" s="84"/>
      <c r="BQ32" s="84">
        <f t="shared" si="40"/>
        <v>0</v>
      </c>
      <c r="BR32" s="84"/>
      <c r="BS32" s="84">
        <f t="shared" si="40"/>
        <v>0</v>
      </c>
      <c r="BT32" s="84"/>
      <c r="BU32" s="84">
        <f t="shared" si="40"/>
        <v>0</v>
      </c>
      <c r="BV32" s="84"/>
      <c r="BW32" s="84">
        <f t="shared" si="40"/>
        <v>0</v>
      </c>
      <c r="BX32" s="84"/>
      <c r="BY32" s="84">
        <f t="shared" si="40"/>
        <v>0</v>
      </c>
      <c r="BZ32" s="84"/>
      <c r="CA32" s="84">
        <f t="shared" si="40"/>
        <v>0</v>
      </c>
      <c r="CB32" s="84"/>
      <c r="CC32" s="84">
        <f t="shared" si="40"/>
        <v>0</v>
      </c>
      <c r="CD32" s="84"/>
      <c r="CE32" s="84">
        <f t="shared" si="40"/>
        <v>0</v>
      </c>
      <c r="CF32" s="84"/>
      <c r="CG32" s="84">
        <f t="shared" si="40"/>
        <v>0</v>
      </c>
      <c r="CH32" s="84"/>
      <c r="CI32" s="84">
        <f t="shared" si="40"/>
        <v>0</v>
      </c>
      <c r="CJ32" s="84"/>
      <c r="CK32" s="84">
        <f t="shared" si="40"/>
        <v>0</v>
      </c>
      <c r="CL32" s="84"/>
      <c r="CM32" s="84">
        <f t="shared" si="40"/>
        <v>0</v>
      </c>
      <c r="CN32" s="84"/>
      <c r="CO32" s="84">
        <f t="shared" si="40"/>
        <v>0</v>
      </c>
      <c r="CP32" s="84"/>
      <c r="CQ32" s="84">
        <f t="shared" si="40"/>
        <v>0</v>
      </c>
      <c r="CR32" s="84"/>
      <c r="CS32" s="84">
        <f t="shared" si="40"/>
        <v>0</v>
      </c>
      <c r="CT32" s="84"/>
      <c r="CU32" s="84">
        <f t="shared" si="40"/>
        <v>0</v>
      </c>
      <c r="CV32" s="84"/>
      <c r="CW32" s="84">
        <f t="shared" si="40"/>
        <v>0</v>
      </c>
      <c r="CX32" s="84"/>
      <c r="CY32" s="84">
        <f t="shared" si="40"/>
        <v>0</v>
      </c>
      <c r="CZ32" s="84"/>
      <c r="DA32" s="84">
        <f t="shared" si="40"/>
        <v>0</v>
      </c>
      <c r="DB32" s="249"/>
      <c r="DC32" s="292"/>
      <c r="DD32" s="292"/>
      <c r="DE32" s="292"/>
      <c r="DF32" s="292"/>
      <c r="DG32" s="292"/>
      <c r="DH32" s="292"/>
      <c r="DI32" s="292"/>
    </row>
    <row r="33" spans="1:113" ht="14.25" customHeight="1">
      <c r="A33" s="291"/>
      <c r="B33" s="291"/>
      <c r="C33" s="289"/>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868"/>
      <c r="AT33" s="868"/>
      <c r="AU33" s="868"/>
      <c r="AV33" s="868"/>
      <c r="AW33" s="868"/>
      <c r="AX33" s="868"/>
      <c r="AY33" s="868"/>
      <c r="AZ33" s="868"/>
      <c r="BA33" s="868"/>
      <c r="BB33" s="868"/>
      <c r="BC33" s="407"/>
      <c r="BD33" s="300" t="s">
        <v>469</v>
      </c>
      <c r="BE33" s="297" t="s">
        <v>679</v>
      </c>
      <c r="BF33" s="84"/>
      <c r="BG33" s="84" t="str">
        <f>IF(OR(ISBLANK(F8),ISBLANK(F9),ISBLANK(F10),ISBLANK(F11),ISBLANK(F12),ISBLANK(F14),ISBLANK(F15),ISBLANK(F16)),"N/A",IF((BG31=BG32),"ok","&lt;&gt;"))</f>
        <v>N/A</v>
      </c>
      <c r="BH33" s="84"/>
      <c r="BI33" s="84" t="str">
        <f>IF(OR(ISBLANK(H8),ISBLANK(H9),ISBLANK(H10),ISBLANK(H11),ISBLANK(H12),ISBLANK(H14),ISBLANK(H15),ISBLANK(H16)),"N/A",IF((BI31=BI32),"ok","&lt;&gt;"))</f>
        <v>N/A</v>
      </c>
      <c r="BJ33" s="84"/>
      <c r="BK33" s="84" t="str">
        <f aca="true" t="shared" si="41" ref="BK33:DA33">IF(OR(ISBLANK(J8),ISBLANK(J9),ISBLANK(J10),ISBLANK(J11),ISBLANK(J12),ISBLANK(J14),ISBLANK(J15),ISBLANK(J16)),"N/A",IF((BK31=BK32),"ok","&lt;&gt;"))</f>
        <v>N/A</v>
      </c>
      <c r="BL33" s="84"/>
      <c r="BM33" s="84" t="str">
        <f t="shared" si="41"/>
        <v>N/A</v>
      </c>
      <c r="BN33" s="84"/>
      <c r="BO33" s="84" t="str">
        <f t="shared" si="41"/>
        <v>N/A</v>
      </c>
      <c r="BP33" s="84"/>
      <c r="BQ33" s="84" t="str">
        <f t="shared" si="41"/>
        <v>N/A</v>
      </c>
      <c r="BR33" s="84"/>
      <c r="BS33" s="84" t="str">
        <f t="shared" si="41"/>
        <v>N/A</v>
      </c>
      <c r="BT33" s="84"/>
      <c r="BU33" s="84" t="str">
        <f t="shared" si="41"/>
        <v>N/A</v>
      </c>
      <c r="BV33" s="84"/>
      <c r="BW33" s="84" t="str">
        <f t="shared" si="41"/>
        <v>N/A</v>
      </c>
      <c r="BX33" s="84"/>
      <c r="BY33" s="84" t="str">
        <f t="shared" si="41"/>
        <v>N/A</v>
      </c>
      <c r="BZ33" s="84"/>
      <c r="CA33" s="84" t="str">
        <f t="shared" si="41"/>
        <v>N/A</v>
      </c>
      <c r="CB33" s="84"/>
      <c r="CC33" s="84" t="str">
        <f t="shared" si="41"/>
        <v>N/A</v>
      </c>
      <c r="CD33" s="84"/>
      <c r="CE33" s="84" t="str">
        <f t="shared" si="41"/>
        <v>N/A</v>
      </c>
      <c r="CF33" s="84"/>
      <c r="CG33" s="84" t="str">
        <f t="shared" si="41"/>
        <v>N/A</v>
      </c>
      <c r="CH33" s="84"/>
      <c r="CI33" s="84" t="str">
        <f t="shared" si="41"/>
        <v>N/A</v>
      </c>
      <c r="CJ33" s="84"/>
      <c r="CK33" s="84" t="str">
        <f t="shared" si="41"/>
        <v>N/A</v>
      </c>
      <c r="CL33" s="84"/>
      <c r="CM33" s="84" t="str">
        <f t="shared" si="41"/>
        <v>N/A</v>
      </c>
      <c r="CN33" s="84"/>
      <c r="CO33" s="84" t="str">
        <f t="shared" si="41"/>
        <v>N/A</v>
      </c>
      <c r="CP33" s="84"/>
      <c r="CQ33" s="84" t="str">
        <f t="shared" si="41"/>
        <v>N/A</v>
      </c>
      <c r="CR33" s="84"/>
      <c r="CS33" s="84" t="str">
        <f t="shared" si="41"/>
        <v>N/A</v>
      </c>
      <c r="CT33" s="84"/>
      <c r="CU33" s="84" t="str">
        <f t="shared" si="41"/>
        <v>N/A</v>
      </c>
      <c r="CV33" s="84"/>
      <c r="CW33" s="84" t="str">
        <f t="shared" si="41"/>
        <v>N/A</v>
      </c>
      <c r="CX33" s="84"/>
      <c r="CY33" s="84" t="str">
        <f t="shared" si="41"/>
        <v>N/A</v>
      </c>
      <c r="CZ33" s="84"/>
      <c r="DA33" s="84" t="str">
        <f t="shared" si="41"/>
        <v>N/A</v>
      </c>
      <c r="DB33" s="249"/>
      <c r="DC33" s="292"/>
      <c r="DD33" s="292"/>
      <c r="DE33" s="292"/>
      <c r="DF33" s="292"/>
      <c r="DG33" s="292"/>
      <c r="DH33" s="292"/>
      <c r="DI33" s="292"/>
    </row>
    <row r="34" spans="1:113" ht="36" customHeight="1">
      <c r="A34" s="291"/>
      <c r="B34" s="291"/>
      <c r="C34" s="289"/>
      <c r="D34" s="519" t="str">
        <f>D9&amp;" (W4,2)"</f>
        <v>par :
     Agriculture, sylviculture et pêche
     (divisions 1 à 3 de la CITI) (W4,2)</v>
      </c>
      <c r="E34" s="293"/>
      <c r="F34" s="293"/>
      <c r="G34" s="293"/>
      <c r="H34" s="293"/>
      <c r="I34" s="293"/>
      <c r="J34" s="293"/>
      <c r="K34" s="293"/>
      <c r="L34" s="293"/>
      <c r="M34" s="293"/>
      <c r="N34" s="293"/>
      <c r="O34" s="293"/>
      <c r="P34" s="293"/>
      <c r="Q34" s="293"/>
      <c r="R34" s="293"/>
      <c r="S34" s="293"/>
      <c r="T34" s="293"/>
      <c r="U34" s="869" t="str">
        <f>D17&amp;" (W4,10)"</f>
        <v>Eaux usées traitées dans des stations d’épuration des eaux usées urbaines (W4,10)</v>
      </c>
      <c r="V34" s="870"/>
      <c r="W34" s="870"/>
      <c r="X34" s="870"/>
      <c r="Y34" s="870"/>
      <c r="Z34" s="870"/>
      <c r="AA34" s="870"/>
      <c r="AB34" s="871"/>
      <c r="AC34" s="293"/>
      <c r="AD34" s="293"/>
      <c r="AE34" s="293"/>
      <c r="AF34" s="293"/>
      <c r="AG34" s="293"/>
      <c r="AH34" s="293"/>
      <c r="AI34" s="302"/>
      <c r="AJ34" s="520"/>
      <c r="AK34" s="520"/>
      <c r="AL34" s="520"/>
      <c r="AM34" s="625"/>
      <c r="AN34" s="625"/>
      <c r="AO34" s="625"/>
      <c r="AP34" s="625"/>
      <c r="AQ34" s="625"/>
      <c r="AR34" s="625"/>
      <c r="AS34" s="625"/>
      <c r="AT34" s="625"/>
      <c r="AU34" s="293"/>
      <c r="AV34" s="293"/>
      <c r="AW34" s="293"/>
      <c r="AX34" s="293"/>
      <c r="AY34" s="293"/>
      <c r="AZ34" s="293"/>
      <c r="BA34" s="293"/>
      <c r="BB34" s="293"/>
      <c r="BC34" s="407"/>
      <c r="BD34" s="315">
        <v>22</v>
      </c>
      <c r="BE34" s="297" t="s">
        <v>680</v>
      </c>
      <c r="BF34" s="84" t="s">
        <v>677</v>
      </c>
      <c r="BG34" s="84">
        <f>F17+F21+F25+F26</f>
        <v>0</v>
      </c>
      <c r="BH34" s="84"/>
      <c r="BI34" s="84">
        <f aca="true" t="shared" si="42" ref="BI34:DA34">H17+H21+H25+H26</f>
        <v>0</v>
      </c>
      <c r="BJ34" s="84"/>
      <c r="BK34" s="84">
        <f t="shared" si="42"/>
        <v>0</v>
      </c>
      <c r="BL34" s="84"/>
      <c r="BM34" s="84">
        <f t="shared" si="42"/>
        <v>0</v>
      </c>
      <c r="BN34" s="84"/>
      <c r="BO34" s="84">
        <f t="shared" si="42"/>
        <v>0</v>
      </c>
      <c r="BP34" s="84"/>
      <c r="BQ34" s="84">
        <f t="shared" si="42"/>
        <v>0</v>
      </c>
      <c r="BR34" s="84"/>
      <c r="BS34" s="84">
        <f t="shared" si="42"/>
        <v>0</v>
      </c>
      <c r="BT34" s="84"/>
      <c r="BU34" s="84">
        <f t="shared" si="42"/>
        <v>0</v>
      </c>
      <c r="BV34" s="84"/>
      <c r="BW34" s="84">
        <f t="shared" si="42"/>
        <v>0</v>
      </c>
      <c r="BX34" s="84"/>
      <c r="BY34" s="84">
        <f t="shared" si="42"/>
        <v>0</v>
      </c>
      <c r="BZ34" s="84"/>
      <c r="CA34" s="84">
        <f t="shared" si="42"/>
        <v>0</v>
      </c>
      <c r="CB34" s="84"/>
      <c r="CC34" s="84">
        <f t="shared" si="42"/>
        <v>0</v>
      </c>
      <c r="CD34" s="84"/>
      <c r="CE34" s="84">
        <f t="shared" si="42"/>
        <v>0</v>
      </c>
      <c r="CF34" s="84"/>
      <c r="CG34" s="84">
        <f t="shared" si="42"/>
        <v>0</v>
      </c>
      <c r="CH34" s="84"/>
      <c r="CI34" s="84">
        <f t="shared" si="42"/>
        <v>0</v>
      </c>
      <c r="CJ34" s="84"/>
      <c r="CK34" s="84">
        <f t="shared" si="42"/>
        <v>0</v>
      </c>
      <c r="CL34" s="84"/>
      <c r="CM34" s="84">
        <f t="shared" si="42"/>
        <v>0</v>
      </c>
      <c r="CN34" s="84"/>
      <c r="CO34" s="84">
        <f t="shared" si="42"/>
        <v>0</v>
      </c>
      <c r="CP34" s="84"/>
      <c r="CQ34" s="84">
        <f t="shared" si="42"/>
        <v>0</v>
      </c>
      <c r="CR34" s="84"/>
      <c r="CS34" s="84">
        <f t="shared" si="42"/>
        <v>0</v>
      </c>
      <c r="CT34" s="84"/>
      <c r="CU34" s="84">
        <f t="shared" si="42"/>
        <v>0</v>
      </c>
      <c r="CV34" s="84"/>
      <c r="CW34" s="84">
        <f t="shared" si="42"/>
        <v>0</v>
      </c>
      <c r="CX34" s="84"/>
      <c r="CY34" s="84">
        <f t="shared" si="42"/>
        <v>0</v>
      </c>
      <c r="CZ34" s="84"/>
      <c r="DA34" s="84">
        <f t="shared" si="42"/>
        <v>0</v>
      </c>
      <c r="DB34" s="249"/>
      <c r="DC34" s="292"/>
      <c r="DD34" s="292"/>
      <c r="DE34" s="292"/>
      <c r="DF34" s="292"/>
      <c r="DG34" s="292"/>
      <c r="DH34" s="292"/>
      <c r="DI34" s="292"/>
    </row>
    <row r="35" spans="1:113" ht="6" customHeight="1">
      <c r="A35" s="291"/>
      <c r="B35" s="291"/>
      <c r="C35" s="289"/>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293"/>
      <c r="AE35" s="293"/>
      <c r="AF35" s="293"/>
      <c r="AG35" s="293"/>
      <c r="AH35" s="293"/>
      <c r="AI35" s="522"/>
      <c r="AJ35" s="522"/>
      <c r="AK35" s="522"/>
      <c r="AL35" s="522"/>
      <c r="AM35" s="640"/>
      <c r="AN35" s="640"/>
      <c r="AO35" s="640"/>
      <c r="AP35" s="640"/>
      <c r="AQ35" s="640"/>
      <c r="AR35" s="640"/>
      <c r="AS35" s="640"/>
      <c r="AT35" s="640"/>
      <c r="AU35" s="293"/>
      <c r="AV35" s="521"/>
      <c r="AW35" s="521"/>
      <c r="AX35" s="521"/>
      <c r="AY35" s="293"/>
      <c r="AZ35" s="293"/>
      <c r="BA35" s="293"/>
      <c r="BB35" s="293"/>
      <c r="BC35" s="407"/>
      <c r="BD35" s="300"/>
      <c r="BE35" s="297"/>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249"/>
      <c r="DC35" s="292"/>
      <c r="DD35" s="292"/>
      <c r="DE35" s="292"/>
      <c r="DF35" s="292"/>
      <c r="DG35" s="292"/>
      <c r="DH35" s="292"/>
      <c r="DI35" s="292"/>
    </row>
    <row r="36" spans="1:113" ht="26.25" customHeight="1">
      <c r="A36" s="291"/>
      <c r="B36" s="291"/>
      <c r="C36" s="289"/>
      <c r="D36" s="519" t="str">
        <f>D10&amp;" (W4,3)"</f>
        <v>Activités extractives (divisions 5 à 9 de la CITI) (W4,3)</v>
      </c>
      <c r="E36" s="520"/>
      <c r="F36" s="520"/>
      <c r="G36" s="520"/>
      <c r="H36" s="520"/>
      <c r="I36" s="520"/>
      <c r="J36" s="520"/>
      <c r="K36" s="520"/>
      <c r="L36" s="520"/>
      <c r="M36" s="520"/>
      <c r="N36" s="520"/>
      <c r="O36" s="520"/>
      <c r="P36" s="520"/>
      <c r="Q36" s="520"/>
      <c r="R36" s="520"/>
      <c r="S36" s="520"/>
      <c r="T36" s="520"/>
      <c r="U36" s="193"/>
      <c r="V36" s="193"/>
      <c r="W36" s="193"/>
      <c r="X36" s="193"/>
      <c r="Y36" s="193"/>
      <c r="Z36" s="193"/>
      <c r="AA36" s="193"/>
      <c r="AB36" s="193"/>
      <c r="AC36" s="520"/>
      <c r="AD36" s="293"/>
      <c r="AE36" s="293"/>
      <c r="AF36" s="293"/>
      <c r="AG36" s="622"/>
      <c r="AH36" s="293"/>
      <c r="AI36" s="523"/>
      <c r="AJ36" s="523"/>
      <c r="AK36" s="523"/>
      <c r="AL36" s="523"/>
      <c r="AM36" s="625"/>
      <c r="AN36" s="625"/>
      <c r="AO36" s="625"/>
      <c r="AP36" s="625"/>
      <c r="AQ36" s="625"/>
      <c r="AR36" s="625"/>
      <c r="AS36" s="625"/>
      <c r="AT36" s="625"/>
      <c r="AU36" s="293"/>
      <c r="AV36" s="293"/>
      <c r="AW36" s="293"/>
      <c r="AX36" s="293"/>
      <c r="AY36" s="293"/>
      <c r="AZ36" s="293"/>
      <c r="BA36" s="293"/>
      <c r="BB36" s="293"/>
      <c r="BC36" s="407"/>
      <c r="BD36" s="300" t="s">
        <v>469</v>
      </c>
      <c r="BE36" s="524" t="s">
        <v>681</v>
      </c>
      <c r="BF36" s="84"/>
      <c r="BG36" s="84" t="str">
        <f>IF(OR(ISBLANK(F8),ISBLANK(F17),ISBLANK(F21),ISBLANK(F25),ISBLANK(F26)),"N/A",IF((BG31=BG34),"ok","&lt;&gt;"))</f>
        <v>N/A</v>
      </c>
      <c r="BH36" s="84"/>
      <c r="BI36" s="84" t="str">
        <f aca="true" t="shared" si="43" ref="BI36:DA36">IF(OR(ISBLANK(H8),ISBLANK(H17),ISBLANK(H21),ISBLANK(H25),ISBLANK(H26)),"N/A",IF((BI31=BI34),"ok","&lt;&gt;"))</f>
        <v>N/A</v>
      </c>
      <c r="BJ36" s="84"/>
      <c r="BK36" s="84" t="str">
        <f t="shared" si="43"/>
        <v>N/A</v>
      </c>
      <c r="BL36" s="84"/>
      <c r="BM36" s="84" t="str">
        <f t="shared" si="43"/>
        <v>N/A</v>
      </c>
      <c r="BN36" s="84"/>
      <c r="BO36" s="84" t="str">
        <f t="shared" si="43"/>
        <v>N/A</v>
      </c>
      <c r="BP36" s="84"/>
      <c r="BQ36" s="84" t="str">
        <f t="shared" si="43"/>
        <v>N/A</v>
      </c>
      <c r="BR36" s="84"/>
      <c r="BS36" s="84" t="str">
        <f t="shared" si="43"/>
        <v>N/A</v>
      </c>
      <c r="BT36" s="84"/>
      <c r="BU36" s="84" t="str">
        <f t="shared" si="43"/>
        <v>N/A</v>
      </c>
      <c r="BV36" s="84"/>
      <c r="BW36" s="84" t="str">
        <f t="shared" si="43"/>
        <v>N/A</v>
      </c>
      <c r="BX36" s="84"/>
      <c r="BY36" s="84" t="str">
        <f t="shared" si="43"/>
        <v>N/A</v>
      </c>
      <c r="BZ36" s="84"/>
      <c r="CA36" s="84" t="str">
        <f t="shared" si="43"/>
        <v>N/A</v>
      </c>
      <c r="CB36" s="84"/>
      <c r="CC36" s="84" t="str">
        <f t="shared" si="43"/>
        <v>N/A</v>
      </c>
      <c r="CD36" s="84"/>
      <c r="CE36" s="84" t="str">
        <f t="shared" si="43"/>
        <v>N/A</v>
      </c>
      <c r="CF36" s="84"/>
      <c r="CG36" s="84" t="str">
        <f t="shared" si="43"/>
        <v>N/A</v>
      </c>
      <c r="CH36" s="84"/>
      <c r="CI36" s="84" t="str">
        <f t="shared" si="43"/>
        <v>N/A</v>
      </c>
      <c r="CJ36" s="84"/>
      <c r="CK36" s="84" t="str">
        <f t="shared" si="43"/>
        <v>N/A</v>
      </c>
      <c r="CL36" s="84"/>
      <c r="CM36" s="84" t="str">
        <f t="shared" si="43"/>
        <v>N/A</v>
      </c>
      <c r="CN36" s="84"/>
      <c r="CO36" s="84" t="str">
        <f t="shared" si="43"/>
        <v>N/A</v>
      </c>
      <c r="CP36" s="84"/>
      <c r="CQ36" s="84" t="str">
        <f t="shared" si="43"/>
        <v>N/A</v>
      </c>
      <c r="CR36" s="84"/>
      <c r="CS36" s="84" t="str">
        <f t="shared" si="43"/>
        <v>N/A</v>
      </c>
      <c r="CT36" s="84"/>
      <c r="CU36" s="84" t="str">
        <f t="shared" si="43"/>
        <v>N/A</v>
      </c>
      <c r="CV36" s="84"/>
      <c r="CW36" s="84" t="str">
        <f t="shared" si="43"/>
        <v>N/A</v>
      </c>
      <c r="CX36" s="84"/>
      <c r="CY36" s="84" t="str">
        <f t="shared" si="43"/>
        <v>N/A</v>
      </c>
      <c r="CZ36" s="84"/>
      <c r="DA36" s="84" t="str">
        <f t="shared" si="43"/>
        <v>N/A</v>
      </c>
      <c r="DB36" s="249"/>
      <c r="DC36" s="292"/>
      <c r="DD36" s="292"/>
      <c r="DE36" s="292"/>
      <c r="DF36" s="292"/>
      <c r="DG36" s="292"/>
      <c r="DH36" s="292"/>
      <c r="DI36" s="292"/>
    </row>
    <row r="37" spans="1:113" ht="8.25" customHeight="1">
      <c r="A37" s="291"/>
      <c r="B37" s="291"/>
      <c r="C37" s="289"/>
      <c r="D37" s="521"/>
      <c r="E37" s="293"/>
      <c r="F37" s="293"/>
      <c r="G37" s="293"/>
      <c r="H37" s="293"/>
      <c r="I37" s="293"/>
      <c r="J37" s="293"/>
      <c r="K37" s="293"/>
      <c r="L37" s="293"/>
      <c r="M37" s="293"/>
      <c r="N37" s="293"/>
      <c r="O37" s="293"/>
      <c r="P37" s="293"/>
      <c r="Q37" s="293"/>
      <c r="R37" s="293"/>
      <c r="S37" s="293"/>
      <c r="T37" s="293"/>
      <c r="U37" s="293"/>
      <c r="V37" s="293"/>
      <c r="W37" s="293"/>
      <c r="X37" s="293"/>
      <c r="Y37" s="522"/>
      <c r="Z37" s="293"/>
      <c r="AA37" s="293"/>
      <c r="AB37" s="293"/>
      <c r="AC37" s="293"/>
      <c r="AD37" s="293"/>
      <c r="AE37" s="293"/>
      <c r="AF37" s="293"/>
      <c r="AG37" s="622"/>
      <c r="AH37" s="293"/>
      <c r="AI37" s="522"/>
      <c r="AJ37" s="522"/>
      <c r="AK37" s="522"/>
      <c r="AL37" s="522"/>
      <c r="AM37" s="640"/>
      <c r="AN37" s="640"/>
      <c r="AO37" s="640"/>
      <c r="AP37" s="640"/>
      <c r="AQ37" s="640"/>
      <c r="AR37" s="640"/>
      <c r="AS37" s="640"/>
      <c r="AT37" s="640"/>
      <c r="AU37" s="293"/>
      <c r="AV37" s="521"/>
      <c r="AW37" s="521"/>
      <c r="AX37" s="521"/>
      <c r="AY37" s="293"/>
      <c r="AZ37" s="293"/>
      <c r="BA37" s="293"/>
      <c r="BB37" s="293"/>
      <c r="BC37" s="407"/>
      <c r="BD37" s="525"/>
      <c r="BE37" s="526"/>
      <c r="BF37" s="527"/>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261"/>
      <c r="DC37" s="292"/>
      <c r="DD37" s="292"/>
      <c r="DE37" s="292"/>
      <c r="DF37" s="292"/>
      <c r="DG37" s="292"/>
      <c r="DH37" s="292"/>
      <c r="DI37" s="292"/>
    </row>
    <row r="38" spans="1:113" ht="25.5" customHeight="1">
      <c r="A38" s="291"/>
      <c r="B38" s="291"/>
      <c r="C38" s="289"/>
      <c r="D38" s="519" t="str">
        <f>D11&amp;" (W4,4)"</f>
        <v>Activités de fabrication (divisions 10 à 33 de la CITI) (W4,4)</v>
      </c>
      <c r="E38" s="293"/>
      <c r="F38" s="293"/>
      <c r="G38" s="293"/>
      <c r="H38" s="293"/>
      <c r="I38" s="293"/>
      <c r="J38" s="873" t="str">
        <f>D8&amp;" (W4,1)"</f>
        <v>Volume total d’eaux usées produites (W4,1)</v>
      </c>
      <c r="K38" s="866"/>
      <c r="L38" s="866"/>
      <c r="M38" s="866"/>
      <c r="N38" s="867"/>
      <c r="O38" s="293"/>
      <c r="P38" s="293"/>
      <c r="Q38" s="293"/>
      <c r="R38" s="293"/>
      <c r="S38" s="293"/>
      <c r="T38" s="293"/>
      <c r="U38" s="869" t="str">
        <f>D21&amp;" (W4,14)"</f>
        <v>Eaux usées traitées dans d’autres stations d’épuration (W4,14)</v>
      </c>
      <c r="V38" s="870"/>
      <c r="W38" s="870"/>
      <c r="X38" s="870"/>
      <c r="Y38" s="870"/>
      <c r="Z38" s="870"/>
      <c r="AA38" s="870"/>
      <c r="AB38" s="871"/>
      <c r="AC38" s="639"/>
      <c r="AD38" s="639"/>
      <c r="AE38" s="639"/>
      <c r="AF38" s="639"/>
      <c r="AG38" s="622"/>
      <c r="AH38" s="293"/>
      <c r="AI38" s="307"/>
      <c r="AJ38" s="427"/>
      <c r="AK38" s="427"/>
      <c r="AL38" s="427"/>
      <c r="AM38" s="625"/>
      <c r="AN38" s="625"/>
      <c r="AO38" s="625"/>
      <c r="AP38" s="625"/>
      <c r="AQ38" s="625"/>
      <c r="AR38" s="625"/>
      <c r="AS38" s="625"/>
      <c r="AT38" s="625"/>
      <c r="AU38" s="293"/>
      <c r="AV38" s="293"/>
      <c r="AW38" s="293"/>
      <c r="AX38" s="293"/>
      <c r="AY38" s="293"/>
      <c r="AZ38" s="293"/>
      <c r="BA38" s="293"/>
      <c r="BB38" s="293"/>
      <c r="BC38" s="407"/>
      <c r="BD38" s="84">
        <v>14</v>
      </c>
      <c r="BE38" s="248" t="s">
        <v>460</v>
      </c>
      <c r="BF38" s="84" t="s">
        <v>677</v>
      </c>
      <c r="BG38" s="119">
        <f>F17</f>
        <v>0</v>
      </c>
      <c r="BH38" s="119"/>
      <c r="BI38" s="119">
        <f aca="true" t="shared" si="44" ref="BI38:DA38">H17</f>
        <v>0</v>
      </c>
      <c r="BJ38" s="119"/>
      <c r="BK38" s="119">
        <f t="shared" si="44"/>
        <v>0</v>
      </c>
      <c r="BL38" s="119"/>
      <c r="BM38" s="119">
        <f t="shared" si="44"/>
        <v>0</v>
      </c>
      <c r="BN38" s="119"/>
      <c r="BO38" s="119">
        <f t="shared" si="44"/>
        <v>0</v>
      </c>
      <c r="BP38" s="119"/>
      <c r="BQ38" s="119">
        <f t="shared" si="44"/>
        <v>0</v>
      </c>
      <c r="BR38" s="119"/>
      <c r="BS38" s="119">
        <f t="shared" si="44"/>
        <v>0</v>
      </c>
      <c r="BT38" s="119"/>
      <c r="BU38" s="119">
        <f t="shared" si="44"/>
        <v>0</v>
      </c>
      <c r="BV38" s="119"/>
      <c r="BW38" s="119">
        <f t="shared" si="44"/>
        <v>0</v>
      </c>
      <c r="BX38" s="119"/>
      <c r="BY38" s="119">
        <f t="shared" si="44"/>
        <v>0</v>
      </c>
      <c r="BZ38" s="119"/>
      <c r="CA38" s="119">
        <f t="shared" si="44"/>
        <v>0</v>
      </c>
      <c r="CB38" s="119"/>
      <c r="CC38" s="119">
        <f t="shared" si="44"/>
        <v>0</v>
      </c>
      <c r="CD38" s="119"/>
      <c r="CE38" s="119">
        <f t="shared" si="44"/>
        <v>0</v>
      </c>
      <c r="CF38" s="119"/>
      <c r="CG38" s="119">
        <f t="shared" si="44"/>
        <v>0</v>
      </c>
      <c r="CH38" s="119"/>
      <c r="CI38" s="119">
        <f t="shared" si="44"/>
        <v>0</v>
      </c>
      <c r="CJ38" s="119"/>
      <c r="CK38" s="119">
        <f t="shared" si="44"/>
        <v>0</v>
      </c>
      <c r="CL38" s="119"/>
      <c r="CM38" s="119">
        <f t="shared" si="44"/>
        <v>0</v>
      </c>
      <c r="CN38" s="119"/>
      <c r="CO38" s="119">
        <f t="shared" si="44"/>
        <v>0</v>
      </c>
      <c r="CP38" s="119"/>
      <c r="CQ38" s="119">
        <f t="shared" si="44"/>
        <v>0</v>
      </c>
      <c r="CR38" s="119"/>
      <c r="CS38" s="119">
        <f t="shared" si="44"/>
        <v>0</v>
      </c>
      <c r="CT38" s="119"/>
      <c r="CU38" s="119">
        <f t="shared" si="44"/>
        <v>0</v>
      </c>
      <c r="CV38" s="119"/>
      <c r="CW38" s="119">
        <f t="shared" si="44"/>
        <v>0</v>
      </c>
      <c r="CX38" s="119"/>
      <c r="CY38" s="119">
        <f t="shared" si="44"/>
        <v>0</v>
      </c>
      <c r="CZ38" s="119"/>
      <c r="DA38" s="119">
        <f t="shared" si="44"/>
        <v>0</v>
      </c>
      <c r="DB38" s="84"/>
      <c r="DC38" s="292"/>
      <c r="DD38" s="292"/>
      <c r="DE38" s="292"/>
      <c r="DF38" s="292"/>
      <c r="DG38" s="292"/>
      <c r="DH38" s="292"/>
      <c r="DI38" s="292"/>
    </row>
    <row r="39" spans="1:113" ht="7.5" customHeight="1">
      <c r="A39" s="291"/>
      <c r="B39" s="291"/>
      <c r="C39" s="289"/>
      <c r="D39" s="521"/>
      <c r="E39" s="293"/>
      <c r="F39" s="293"/>
      <c r="G39" s="293"/>
      <c r="H39" s="293"/>
      <c r="I39" s="293"/>
      <c r="J39" s="874"/>
      <c r="K39" s="875"/>
      <c r="L39" s="875"/>
      <c r="M39" s="875"/>
      <c r="N39" s="876"/>
      <c r="O39" s="293"/>
      <c r="P39" s="293"/>
      <c r="Q39" s="293"/>
      <c r="R39" s="293"/>
      <c r="S39" s="293"/>
      <c r="T39" s="293"/>
      <c r="U39" s="293"/>
      <c r="V39" s="293"/>
      <c r="W39" s="293"/>
      <c r="X39" s="522"/>
      <c r="Y39" s="523"/>
      <c r="Z39" s="639"/>
      <c r="AA39" s="639"/>
      <c r="AB39" s="639"/>
      <c r="AC39" s="639"/>
      <c r="AD39" s="639"/>
      <c r="AE39" s="639"/>
      <c r="AF39" s="639"/>
      <c r="AG39" s="622"/>
      <c r="AH39" s="293"/>
      <c r="AI39" s="307"/>
      <c r="AJ39" s="427"/>
      <c r="AK39" s="427"/>
      <c r="AL39" s="427"/>
      <c r="AM39" s="625"/>
      <c r="AN39" s="625"/>
      <c r="AO39" s="625"/>
      <c r="AP39" s="625"/>
      <c r="AQ39" s="625"/>
      <c r="AR39" s="625"/>
      <c r="AS39" s="625"/>
      <c r="AT39" s="625"/>
      <c r="AU39" s="293"/>
      <c r="AV39" s="293"/>
      <c r="AW39" s="293"/>
      <c r="AX39" s="293"/>
      <c r="AY39" s="293"/>
      <c r="AZ39" s="293"/>
      <c r="BA39" s="293"/>
      <c r="BB39" s="293"/>
      <c r="BC39" s="407"/>
      <c r="BD39" s="529"/>
      <c r="BE39" s="527"/>
      <c r="BF39" s="530"/>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272"/>
      <c r="DC39" s="292"/>
      <c r="DD39" s="292"/>
      <c r="DE39" s="292"/>
      <c r="DF39" s="292"/>
      <c r="DG39" s="292"/>
      <c r="DH39" s="292"/>
      <c r="DI39" s="292"/>
    </row>
    <row r="40" spans="1:113" ht="36.75" customHeight="1">
      <c r="A40" s="291"/>
      <c r="B40" s="291"/>
      <c r="C40" s="289"/>
      <c r="D40" s="519" t="str">
        <f>D12&amp;" (W4,5)"</f>
        <v>Production et distribution d’électricité, de gaz, de vapeur et climatisation (division 35 de la CITI) (W4,5)</v>
      </c>
      <c r="E40" s="293"/>
      <c r="F40" s="293"/>
      <c r="G40" s="293"/>
      <c r="H40" s="293"/>
      <c r="I40" s="293"/>
      <c r="J40" s="874"/>
      <c r="K40" s="875"/>
      <c r="L40" s="875"/>
      <c r="M40" s="875"/>
      <c r="N40" s="876"/>
      <c r="O40" s="293"/>
      <c r="P40" s="293"/>
      <c r="Q40" s="293"/>
      <c r="R40" s="293"/>
      <c r="S40" s="293"/>
      <c r="T40" s="293"/>
      <c r="U40" s="193"/>
      <c r="V40" s="193"/>
      <c r="W40" s="193"/>
      <c r="X40" s="193"/>
      <c r="Y40" s="193"/>
      <c r="Z40" s="193"/>
      <c r="AA40" s="193"/>
      <c r="AB40" s="193"/>
      <c r="AC40" s="639"/>
      <c r="AD40" s="639"/>
      <c r="AE40" s="639"/>
      <c r="AF40" s="639"/>
      <c r="AG40" s="622"/>
      <c r="AH40" s="293"/>
      <c r="AI40" s="307"/>
      <c r="AJ40" s="427"/>
      <c r="AK40" s="427"/>
      <c r="AL40" s="427"/>
      <c r="AM40" s="625"/>
      <c r="AN40" s="625"/>
      <c r="AO40" s="625"/>
      <c r="AP40" s="625"/>
      <c r="AQ40" s="625"/>
      <c r="AR40" s="625"/>
      <c r="AS40" s="625"/>
      <c r="AT40" s="625"/>
      <c r="AU40" s="293"/>
      <c r="AV40" s="293"/>
      <c r="AW40" s="293"/>
      <c r="AX40" s="293"/>
      <c r="AY40" s="293"/>
      <c r="AZ40" s="293"/>
      <c r="BA40" s="293"/>
      <c r="BB40" s="293"/>
      <c r="BC40" s="407"/>
      <c r="BD40" s="315">
        <v>23</v>
      </c>
      <c r="BE40" s="532" t="s">
        <v>682</v>
      </c>
      <c r="BF40" s="117" t="s">
        <v>677</v>
      </c>
      <c r="BG40" s="119">
        <f>SUM(F18:F20)</f>
        <v>0</v>
      </c>
      <c r="BH40" s="119"/>
      <c r="BI40" s="119">
        <f aca="true" t="shared" si="45" ref="BI40:DA40">SUM(H18:H20)</f>
        <v>0</v>
      </c>
      <c r="BJ40" s="119"/>
      <c r="BK40" s="119">
        <f t="shared" si="45"/>
        <v>0</v>
      </c>
      <c r="BL40" s="119"/>
      <c r="BM40" s="119">
        <f t="shared" si="45"/>
        <v>0</v>
      </c>
      <c r="BN40" s="119"/>
      <c r="BO40" s="119">
        <f t="shared" si="45"/>
        <v>0</v>
      </c>
      <c r="BP40" s="119"/>
      <c r="BQ40" s="119">
        <f t="shared" si="45"/>
        <v>0</v>
      </c>
      <c r="BR40" s="119"/>
      <c r="BS40" s="119">
        <f t="shared" si="45"/>
        <v>0</v>
      </c>
      <c r="BT40" s="119"/>
      <c r="BU40" s="119">
        <f t="shared" si="45"/>
        <v>0</v>
      </c>
      <c r="BV40" s="119"/>
      <c r="BW40" s="119">
        <f t="shared" si="45"/>
        <v>0</v>
      </c>
      <c r="BX40" s="119"/>
      <c r="BY40" s="119">
        <f t="shared" si="45"/>
        <v>0</v>
      </c>
      <c r="BZ40" s="119"/>
      <c r="CA40" s="119">
        <f t="shared" si="45"/>
        <v>0</v>
      </c>
      <c r="CB40" s="119"/>
      <c r="CC40" s="119">
        <f t="shared" si="45"/>
        <v>0</v>
      </c>
      <c r="CD40" s="119"/>
      <c r="CE40" s="119">
        <f t="shared" si="45"/>
        <v>0</v>
      </c>
      <c r="CF40" s="119"/>
      <c r="CG40" s="119">
        <f t="shared" si="45"/>
        <v>0</v>
      </c>
      <c r="CH40" s="119"/>
      <c r="CI40" s="119">
        <f t="shared" si="45"/>
        <v>0</v>
      </c>
      <c r="CJ40" s="119"/>
      <c r="CK40" s="119">
        <f t="shared" si="45"/>
        <v>0</v>
      </c>
      <c r="CL40" s="119"/>
      <c r="CM40" s="119">
        <f t="shared" si="45"/>
        <v>0</v>
      </c>
      <c r="CN40" s="119"/>
      <c r="CO40" s="119">
        <f t="shared" si="45"/>
        <v>0</v>
      </c>
      <c r="CP40" s="119"/>
      <c r="CQ40" s="119">
        <f t="shared" si="45"/>
        <v>0</v>
      </c>
      <c r="CR40" s="119"/>
      <c r="CS40" s="119">
        <f t="shared" si="45"/>
        <v>0</v>
      </c>
      <c r="CT40" s="119"/>
      <c r="CU40" s="119">
        <f t="shared" si="45"/>
        <v>0</v>
      </c>
      <c r="CV40" s="119"/>
      <c r="CW40" s="119">
        <f t="shared" si="45"/>
        <v>0</v>
      </c>
      <c r="CX40" s="119"/>
      <c r="CY40" s="119">
        <f t="shared" si="45"/>
        <v>0</v>
      </c>
      <c r="CZ40" s="119"/>
      <c r="DA40" s="119">
        <f t="shared" si="45"/>
        <v>0</v>
      </c>
      <c r="DB40" s="272"/>
      <c r="DC40" s="292"/>
      <c r="DD40" s="292"/>
      <c r="DE40" s="292"/>
      <c r="DF40" s="292"/>
      <c r="DG40" s="292"/>
      <c r="DH40" s="292"/>
      <c r="DI40" s="292"/>
    </row>
    <row r="41" spans="1:113" ht="7.5" customHeight="1">
      <c r="A41" s="291"/>
      <c r="B41" s="291"/>
      <c r="C41" s="289"/>
      <c r="D41" s="302"/>
      <c r="E41" s="293"/>
      <c r="F41" s="293"/>
      <c r="G41" s="293"/>
      <c r="H41" s="293"/>
      <c r="I41" s="293"/>
      <c r="J41" s="822"/>
      <c r="K41" s="823"/>
      <c r="L41" s="823"/>
      <c r="M41" s="823"/>
      <c r="N41" s="824"/>
      <c r="O41" s="293"/>
      <c r="P41" s="293"/>
      <c r="Q41" s="293"/>
      <c r="R41" s="293"/>
      <c r="S41" s="293"/>
      <c r="T41" s="293"/>
      <c r="U41" s="293"/>
      <c r="V41" s="293"/>
      <c r="W41" s="293"/>
      <c r="X41" s="522"/>
      <c r="Y41" s="523"/>
      <c r="Z41" s="639"/>
      <c r="AA41" s="639"/>
      <c r="AB41" s="639"/>
      <c r="AC41" s="639"/>
      <c r="AD41" s="639"/>
      <c r="AE41" s="639"/>
      <c r="AF41" s="639"/>
      <c r="AG41" s="622"/>
      <c r="AH41" s="293"/>
      <c r="AI41" s="307"/>
      <c r="AJ41" s="427"/>
      <c r="AK41" s="427"/>
      <c r="AL41" s="427"/>
      <c r="AM41" s="625"/>
      <c r="AN41" s="625"/>
      <c r="AO41" s="625"/>
      <c r="AP41" s="625"/>
      <c r="AQ41" s="625"/>
      <c r="AR41" s="625"/>
      <c r="AS41" s="625"/>
      <c r="AT41" s="625"/>
      <c r="AU41" s="293"/>
      <c r="AV41" s="293"/>
      <c r="AW41" s="293"/>
      <c r="AX41" s="293"/>
      <c r="AY41" s="293"/>
      <c r="AZ41" s="293"/>
      <c r="BA41" s="293"/>
      <c r="BB41" s="293"/>
      <c r="BC41" s="407"/>
      <c r="BD41" s="534"/>
      <c r="BE41" s="526"/>
      <c r="BF41" s="52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272"/>
      <c r="DC41" s="292"/>
      <c r="DD41" s="292"/>
      <c r="DE41" s="292"/>
      <c r="DF41" s="292"/>
      <c r="DG41" s="292"/>
      <c r="DH41" s="292"/>
      <c r="DI41" s="292"/>
    </row>
    <row r="42" spans="1:113" ht="25.5" customHeight="1">
      <c r="A42" s="291"/>
      <c r="B42" s="291"/>
      <c r="C42" s="289"/>
      <c r="D42" s="519" t="str">
        <f>D14&amp;" (W4,7)"</f>
        <v>Construction (divisions 41 à 43 de la CITI) (W4,7)</v>
      </c>
      <c r="E42" s="293"/>
      <c r="F42" s="293"/>
      <c r="G42" s="293"/>
      <c r="H42" s="293"/>
      <c r="I42" s="293"/>
      <c r="J42" s="638"/>
      <c r="K42" s="638"/>
      <c r="L42" s="638"/>
      <c r="M42" s="638"/>
      <c r="N42" s="638"/>
      <c r="O42" s="293"/>
      <c r="P42" s="293"/>
      <c r="Q42" s="293"/>
      <c r="R42" s="293"/>
      <c r="S42" s="293"/>
      <c r="T42" s="293"/>
      <c r="U42" s="869" t="str">
        <f>D25&amp;" (W4,18)"</f>
        <v>Eaux usées traitées dans des moyens d’épuration indépendants (W4,18)</v>
      </c>
      <c r="V42" s="870"/>
      <c r="W42" s="870"/>
      <c r="X42" s="870"/>
      <c r="Y42" s="870"/>
      <c r="Z42" s="870"/>
      <c r="AA42" s="870"/>
      <c r="AB42" s="871"/>
      <c r="AC42" s="639"/>
      <c r="AD42" s="639"/>
      <c r="AE42" s="639"/>
      <c r="AF42" s="639"/>
      <c r="AG42" s="622"/>
      <c r="AH42" s="293"/>
      <c r="AI42" s="307"/>
      <c r="AJ42" s="427"/>
      <c r="AK42" s="427"/>
      <c r="AL42" s="427"/>
      <c r="AM42" s="625"/>
      <c r="AN42" s="625"/>
      <c r="AO42" s="625"/>
      <c r="AP42" s="625"/>
      <c r="AQ42" s="625"/>
      <c r="AR42" s="625"/>
      <c r="AS42" s="625"/>
      <c r="AT42" s="625"/>
      <c r="AU42" s="293"/>
      <c r="AV42" s="293"/>
      <c r="AW42" s="293"/>
      <c r="AX42" s="293"/>
      <c r="AY42" s="293"/>
      <c r="AZ42" s="293"/>
      <c r="BA42" s="293"/>
      <c r="BB42" s="293"/>
      <c r="BC42" s="407"/>
      <c r="BD42" s="300" t="s">
        <v>469</v>
      </c>
      <c r="BE42" s="297" t="s">
        <v>683</v>
      </c>
      <c r="BF42" s="84"/>
      <c r="BG42" s="117" t="str">
        <f>IF(OR(ISBLANK(F17),ISBLANK(F18),ISBLANK(F19),ISBLANK(F20)),"N/A",IF((BG38=BG40),"ok","&lt;&gt;"))</f>
        <v>N/A</v>
      </c>
      <c r="BH42" s="117"/>
      <c r="BI42" s="117" t="str">
        <f aca="true" t="shared" si="46" ref="BI42:DA42">IF(OR(ISBLANK(H17),ISBLANK(H18),ISBLANK(H19),ISBLANK(H20)),"N/A",IF((BI38=BI40),"ok","&lt;&gt;"))</f>
        <v>N/A</v>
      </c>
      <c r="BJ42" s="117"/>
      <c r="BK42" s="117" t="str">
        <f t="shared" si="46"/>
        <v>N/A</v>
      </c>
      <c r="BL42" s="117"/>
      <c r="BM42" s="117" t="str">
        <f t="shared" si="46"/>
        <v>N/A</v>
      </c>
      <c r="BN42" s="117"/>
      <c r="BO42" s="117" t="str">
        <f t="shared" si="46"/>
        <v>N/A</v>
      </c>
      <c r="BP42" s="117"/>
      <c r="BQ42" s="117" t="str">
        <f t="shared" si="46"/>
        <v>N/A</v>
      </c>
      <c r="BR42" s="117"/>
      <c r="BS42" s="117" t="str">
        <f t="shared" si="46"/>
        <v>N/A</v>
      </c>
      <c r="BT42" s="117"/>
      <c r="BU42" s="117" t="str">
        <f t="shared" si="46"/>
        <v>N/A</v>
      </c>
      <c r="BV42" s="117"/>
      <c r="BW42" s="117" t="str">
        <f t="shared" si="46"/>
        <v>N/A</v>
      </c>
      <c r="BX42" s="117"/>
      <c r="BY42" s="117" t="str">
        <f t="shared" si="46"/>
        <v>N/A</v>
      </c>
      <c r="BZ42" s="117"/>
      <c r="CA42" s="117" t="str">
        <f t="shared" si="46"/>
        <v>N/A</v>
      </c>
      <c r="CB42" s="117"/>
      <c r="CC42" s="117" t="str">
        <f t="shared" si="46"/>
        <v>N/A</v>
      </c>
      <c r="CD42" s="117"/>
      <c r="CE42" s="117" t="str">
        <f t="shared" si="46"/>
        <v>N/A</v>
      </c>
      <c r="CF42" s="117"/>
      <c r="CG42" s="117" t="str">
        <f t="shared" si="46"/>
        <v>N/A</v>
      </c>
      <c r="CH42" s="117"/>
      <c r="CI42" s="117" t="str">
        <f t="shared" si="46"/>
        <v>N/A</v>
      </c>
      <c r="CJ42" s="117"/>
      <c r="CK42" s="117" t="str">
        <f t="shared" si="46"/>
        <v>N/A</v>
      </c>
      <c r="CL42" s="117"/>
      <c r="CM42" s="117" t="str">
        <f t="shared" si="46"/>
        <v>N/A</v>
      </c>
      <c r="CN42" s="117"/>
      <c r="CO42" s="117" t="str">
        <f t="shared" si="46"/>
        <v>N/A</v>
      </c>
      <c r="CP42" s="117"/>
      <c r="CQ42" s="117" t="str">
        <f t="shared" si="46"/>
        <v>N/A</v>
      </c>
      <c r="CR42" s="117"/>
      <c r="CS42" s="117" t="str">
        <f t="shared" si="46"/>
        <v>N/A</v>
      </c>
      <c r="CT42" s="117"/>
      <c r="CU42" s="117" t="str">
        <f t="shared" si="46"/>
        <v>N/A</v>
      </c>
      <c r="CV42" s="117"/>
      <c r="CW42" s="117" t="str">
        <f t="shared" si="46"/>
        <v>N/A</v>
      </c>
      <c r="CX42" s="117"/>
      <c r="CY42" s="117" t="str">
        <f t="shared" si="46"/>
        <v>N/A</v>
      </c>
      <c r="CZ42" s="117"/>
      <c r="DA42" s="117" t="str">
        <f t="shared" si="46"/>
        <v>N/A</v>
      </c>
      <c r="DB42" s="272"/>
      <c r="DC42" s="292"/>
      <c r="DD42" s="292"/>
      <c r="DE42" s="292"/>
      <c r="DF42" s="292"/>
      <c r="DG42" s="292"/>
      <c r="DH42" s="292"/>
      <c r="DI42" s="292"/>
    </row>
    <row r="43" spans="1:113" ht="6.75" customHeight="1">
      <c r="A43" s="291"/>
      <c r="B43" s="291"/>
      <c r="C43" s="289"/>
      <c r="D43" s="302"/>
      <c r="E43" s="293"/>
      <c r="F43" s="293"/>
      <c r="G43" s="293"/>
      <c r="H43" s="293"/>
      <c r="I43" s="293"/>
      <c r="J43" s="638"/>
      <c r="K43" s="638"/>
      <c r="L43" s="638"/>
      <c r="M43" s="638"/>
      <c r="N43" s="638"/>
      <c r="O43" s="293"/>
      <c r="P43" s="293"/>
      <c r="Q43" s="293"/>
      <c r="R43" s="293"/>
      <c r="S43" s="293"/>
      <c r="T43" s="293"/>
      <c r="U43" s="293"/>
      <c r="V43" s="293"/>
      <c r="W43" s="293"/>
      <c r="X43" s="293"/>
      <c r="Y43" s="293"/>
      <c r="Z43" s="293"/>
      <c r="AA43" s="293"/>
      <c r="AB43" s="293"/>
      <c r="AC43" s="293"/>
      <c r="AD43" s="639"/>
      <c r="AE43" s="639"/>
      <c r="AF43" s="639"/>
      <c r="AG43" s="622"/>
      <c r="AH43" s="293"/>
      <c r="AI43" s="352"/>
      <c r="AJ43" s="522"/>
      <c r="AK43" s="522"/>
      <c r="AL43" s="522"/>
      <c r="AM43" s="640"/>
      <c r="AN43" s="640"/>
      <c r="AO43" s="640"/>
      <c r="AP43" s="640"/>
      <c r="AQ43" s="640"/>
      <c r="AR43" s="640"/>
      <c r="AS43" s="640"/>
      <c r="AT43" s="640"/>
      <c r="AU43" s="293"/>
      <c r="AV43" s="521"/>
      <c r="AW43" s="521"/>
      <c r="AX43" s="521"/>
      <c r="AY43" s="293"/>
      <c r="AZ43" s="293"/>
      <c r="BA43" s="293"/>
      <c r="BB43" s="293"/>
      <c r="BC43" s="528"/>
      <c r="BD43" s="535"/>
      <c r="BE43" s="527"/>
      <c r="BF43" s="52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272"/>
      <c r="DC43" s="292"/>
      <c r="DD43" s="292"/>
      <c r="DE43" s="292"/>
      <c r="DF43" s="292"/>
      <c r="DG43" s="292"/>
      <c r="DH43" s="292"/>
      <c r="DI43" s="292"/>
    </row>
    <row r="44" spans="1:113" ht="24.75" customHeight="1">
      <c r="A44" s="291"/>
      <c r="B44" s="291"/>
      <c r="C44" s="289"/>
      <c r="D44" s="519" t="str">
        <f>D15&amp;" (W4,8)"</f>
        <v>Autres activités économiques (W4,8)</v>
      </c>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622"/>
      <c r="AH44" s="293"/>
      <c r="AI44" s="531"/>
      <c r="AJ44" s="427"/>
      <c r="AK44" s="427"/>
      <c r="AL44" s="427"/>
      <c r="AM44" s="625"/>
      <c r="AN44" s="625"/>
      <c r="AO44" s="625"/>
      <c r="AP44" s="625"/>
      <c r="AQ44" s="625"/>
      <c r="AR44" s="625"/>
      <c r="AS44" s="625"/>
      <c r="AT44" s="625"/>
      <c r="AU44" s="293"/>
      <c r="AV44" s="293"/>
      <c r="AW44" s="293"/>
      <c r="AX44" s="293"/>
      <c r="AY44" s="293"/>
      <c r="AZ44" s="293"/>
      <c r="BA44" s="293"/>
      <c r="BB44" s="293"/>
      <c r="BC44" s="528"/>
      <c r="BD44" s="84">
        <v>11</v>
      </c>
      <c r="BE44" s="248" t="s">
        <v>454</v>
      </c>
      <c r="BF44" s="117" t="s">
        <v>677</v>
      </c>
      <c r="BG44" s="119">
        <f>F21</f>
        <v>0</v>
      </c>
      <c r="BH44" s="119"/>
      <c r="BI44" s="119">
        <f aca="true" t="shared" si="47" ref="BI44:DA44">H21</f>
        <v>0</v>
      </c>
      <c r="BJ44" s="119"/>
      <c r="BK44" s="119">
        <f t="shared" si="47"/>
        <v>0</v>
      </c>
      <c r="BL44" s="119"/>
      <c r="BM44" s="119">
        <f t="shared" si="47"/>
        <v>0</v>
      </c>
      <c r="BN44" s="119"/>
      <c r="BO44" s="119">
        <f t="shared" si="47"/>
        <v>0</v>
      </c>
      <c r="BP44" s="119"/>
      <c r="BQ44" s="119">
        <f t="shared" si="47"/>
        <v>0</v>
      </c>
      <c r="BR44" s="119"/>
      <c r="BS44" s="119">
        <f t="shared" si="47"/>
        <v>0</v>
      </c>
      <c r="BT44" s="119"/>
      <c r="BU44" s="119">
        <f t="shared" si="47"/>
        <v>0</v>
      </c>
      <c r="BV44" s="119"/>
      <c r="BW44" s="119">
        <f t="shared" si="47"/>
        <v>0</v>
      </c>
      <c r="BX44" s="119"/>
      <c r="BY44" s="119">
        <f t="shared" si="47"/>
        <v>0</v>
      </c>
      <c r="BZ44" s="119"/>
      <c r="CA44" s="119">
        <f t="shared" si="47"/>
        <v>0</v>
      </c>
      <c r="CB44" s="119"/>
      <c r="CC44" s="119">
        <f t="shared" si="47"/>
        <v>0</v>
      </c>
      <c r="CD44" s="119"/>
      <c r="CE44" s="119">
        <f t="shared" si="47"/>
        <v>0</v>
      </c>
      <c r="CF44" s="119"/>
      <c r="CG44" s="119">
        <f t="shared" si="47"/>
        <v>0</v>
      </c>
      <c r="CH44" s="119"/>
      <c r="CI44" s="119">
        <f t="shared" si="47"/>
        <v>0</v>
      </c>
      <c r="CJ44" s="119"/>
      <c r="CK44" s="119">
        <f t="shared" si="47"/>
        <v>0</v>
      </c>
      <c r="CL44" s="119"/>
      <c r="CM44" s="119">
        <f t="shared" si="47"/>
        <v>0</v>
      </c>
      <c r="CN44" s="119"/>
      <c r="CO44" s="119">
        <f t="shared" si="47"/>
        <v>0</v>
      </c>
      <c r="CP44" s="119"/>
      <c r="CQ44" s="119">
        <f t="shared" si="47"/>
        <v>0</v>
      </c>
      <c r="CR44" s="119"/>
      <c r="CS44" s="119">
        <f t="shared" si="47"/>
        <v>0</v>
      </c>
      <c r="CT44" s="119"/>
      <c r="CU44" s="119">
        <f t="shared" si="47"/>
        <v>0</v>
      </c>
      <c r="CV44" s="119"/>
      <c r="CW44" s="119">
        <f t="shared" si="47"/>
        <v>0</v>
      </c>
      <c r="CX44" s="119"/>
      <c r="CY44" s="119">
        <f t="shared" si="47"/>
        <v>0</v>
      </c>
      <c r="CZ44" s="119"/>
      <c r="DA44" s="119">
        <f t="shared" si="47"/>
        <v>0</v>
      </c>
      <c r="DB44" s="84"/>
      <c r="DC44" s="292"/>
      <c r="DD44" s="292"/>
      <c r="DE44" s="292"/>
      <c r="DF44" s="292"/>
      <c r="DG44" s="292"/>
      <c r="DH44" s="292"/>
      <c r="DI44" s="292"/>
    </row>
    <row r="45" spans="1:113" ht="7.5" customHeight="1">
      <c r="A45" s="291"/>
      <c r="B45" s="291"/>
      <c r="C45" s="289"/>
      <c r="D45" s="533"/>
      <c r="E45" s="293"/>
      <c r="F45" s="293"/>
      <c r="G45" s="293"/>
      <c r="H45" s="293"/>
      <c r="I45" s="293"/>
      <c r="J45" s="293"/>
      <c r="K45" s="293"/>
      <c r="L45" s="293"/>
      <c r="M45" s="293"/>
      <c r="N45" s="293"/>
      <c r="O45" s="293"/>
      <c r="P45" s="293"/>
      <c r="Q45" s="293"/>
      <c r="R45" s="293"/>
      <c r="S45" s="293"/>
      <c r="T45" s="293"/>
      <c r="U45" s="193"/>
      <c r="V45" s="193"/>
      <c r="W45" s="193"/>
      <c r="X45" s="193"/>
      <c r="Y45" s="193"/>
      <c r="Z45" s="193"/>
      <c r="AA45" s="193"/>
      <c r="AB45" s="1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528"/>
      <c r="BD45" s="536"/>
      <c r="BE45" s="537"/>
      <c r="BF45" s="538"/>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39"/>
      <c r="CF45" s="539"/>
      <c r="CG45" s="539"/>
      <c r="CH45" s="539"/>
      <c r="CI45" s="539"/>
      <c r="CJ45" s="539"/>
      <c r="CK45" s="539"/>
      <c r="CL45" s="539"/>
      <c r="CM45" s="539"/>
      <c r="CN45" s="539"/>
      <c r="CO45" s="539"/>
      <c r="CP45" s="539"/>
      <c r="CQ45" s="539"/>
      <c r="CR45" s="539"/>
      <c r="CS45" s="539"/>
      <c r="CT45" s="539"/>
      <c r="CU45" s="539"/>
      <c r="CV45" s="539"/>
      <c r="CW45" s="539"/>
      <c r="CX45" s="539"/>
      <c r="CY45" s="539"/>
      <c r="CZ45" s="539"/>
      <c r="DA45" s="539"/>
      <c r="DB45" s="272"/>
      <c r="DC45" s="292"/>
      <c r="DD45" s="292"/>
      <c r="DE45" s="292"/>
      <c r="DF45" s="292"/>
      <c r="DG45" s="292"/>
      <c r="DH45" s="292"/>
      <c r="DI45" s="292"/>
    </row>
    <row r="46" spans="1:106" s="190" customFormat="1" ht="24.75" customHeight="1">
      <c r="A46" s="179"/>
      <c r="B46" s="180"/>
      <c r="C46" s="659"/>
      <c r="D46" s="519" t="str">
        <f>D16&amp;" (W4,9)"</f>
        <v>Ménages (W4,9)</v>
      </c>
      <c r="E46" s="293"/>
      <c r="F46" s="293"/>
      <c r="G46" s="293"/>
      <c r="H46" s="293"/>
      <c r="I46" s="293"/>
      <c r="J46" s="293"/>
      <c r="K46" s="293"/>
      <c r="L46" s="293"/>
      <c r="M46" s="293"/>
      <c r="N46" s="293"/>
      <c r="O46" s="293"/>
      <c r="P46" s="293"/>
      <c r="Q46" s="293"/>
      <c r="R46" s="293"/>
      <c r="S46" s="293"/>
      <c r="T46" s="293"/>
      <c r="U46" s="869" t="str">
        <f>D26&amp;" (W4,19)"</f>
        <v>Eaux usées non traitées (W4,19)</v>
      </c>
      <c r="V46" s="870"/>
      <c r="W46" s="870"/>
      <c r="X46" s="870"/>
      <c r="Y46" s="870"/>
      <c r="Z46" s="870"/>
      <c r="AA46" s="870"/>
      <c r="AB46" s="871"/>
      <c r="AC46" s="293"/>
      <c r="AD46" s="293"/>
      <c r="AE46" s="293"/>
      <c r="AF46" s="293"/>
      <c r="AG46" s="293"/>
      <c r="AH46" s="293"/>
      <c r="AI46" s="293"/>
      <c r="AJ46" s="293"/>
      <c r="AK46" s="293"/>
      <c r="AL46" s="293"/>
      <c r="AM46" s="293"/>
      <c r="AN46" s="293"/>
      <c r="AO46" s="293"/>
      <c r="AP46" s="293"/>
      <c r="AQ46" s="293"/>
      <c r="AR46" s="293"/>
      <c r="AS46" s="293"/>
      <c r="AT46" s="293"/>
      <c r="AU46" s="483"/>
      <c r="AV46" s="293"/>
      <c r="AW46" s="293"/>
      <c r="AX46" s="293"/>
      <c r="AY46" s="483"/>
      <c r="AZ46" s="483"/>
      <c r="BA46" s="483"/>
      <c r="BB46" s="483"/>
      <c r="BC46" s="191"/>
      <c r="BD46" s="315">
        <v>24</v>
      </c>
      <c r="BE46" s="297" t="s">
        <v>684</v>
      </c>
      <c r="BF46" s="84" t="s">
        <v>677</v>
      </c>
      <c r="BG46" s="117">
        <f>SUM(F22:F24)</f>
        <v>0</v>
      </c>
      <c r="BH46" s="117"/>
      <c r="BI46" s="117">
        <f aca="true" t="shared" si="48" ref="BI46:DA46">SUM(H22:H24)</f>
        <v>0</v>
      </c>
      <c r="BJ46" s="117"/>
      <c r="BK46" s="117">
        <f t="shared" si="48"/>
        <v>0</v>
      </c>
      <c r="BL46" s="117"/>
      <c r="BM46" s="117">
        <f t="shared" si="48"/>
        <v>0</v>
      </c>
      <c r="BN46" s="117"/>
      <c r="BO46" s="117">
        <f t="shared" si="48"/>
        <v>0</v>
      </c>
      <c r="BP46" s="117"/>
      <c r="BQ46" s="117">
        <f t="shared" si="48"/>
        <v>0</v>
      </c>
      <c r="BR46" s="117"/>
      <c r="BS46" s="117">
        <f t="shared" si="48"/>
        <v>0</v>
      </c>
      <c r="BT46" s="117"/>
      <c r="BU46" s="117">
        <f t="shared" si="48"/>
        <v>0</v>
      </c>
      <c r="BV46" s="117"/>
      <c r="BW46" s="117">
        <f t="shared" si="48"/>
        <v>0</v>
      </c>
      <c r="BX46" s="117"/>
      <c r="BY46" s="117">
        <f t="shared" si="48"/>
        <v>0</v>
      </c>
      <c r="BZ46" s="117"/>
      <c r="CA46" s="117">
        <f t="shared" si="48"/>
        <v>0</v>
      </c>
      <c r="CB46" s="117"/>
      <c r="CC46" s="117">
        <f t="shared" si="48"/>
        <v>0</v>
      </c>
      <c r="CD46" s="117"/>
      <c r="CE46" s="117">
        <f t="shared" si="48"/>
        <v>0</v>
      </c>
      <c r="CF46" s="117"/>
      <c r="CG46" s="117">
        <f t="shared" si="48"/>
        <v>0</v>
      </c>
      <c r="CH46" s="117"/>
      <c r="CI46" s="117">
        <f t="shared" si="48"/>
        <v>0</v>
      </c>
      <c r="CJ46" s="117"/>
      <c r="CK46" s="117">
        <f t="shared" si="48"/>
        <v>0</v>
      </c>
      <c r="CL46" s="117"/>
      <c r="CM46" s="117">
        <f t="shared" si="48"/>
        <v>0</v>
      </c>
      <c r="CN46" s="117"/>
      <c r="CO46" s="117">
        <f t="shared" si="48"/>
        <v>0</v>
      </c>
      <c r="CP46" s="117"/>
      <c r="CQ46" s="117">
        <f t="shared" si="48"/>
        <v>0</v>
      </c>
      <c r="CR46" s="117"/>
      <c r="CS46" s="117">
        <f t="shared" si="48"/>
        <v>0</v>
      </c>
      <c r="CT46" s="117"/>
      <c r="CU46" s="117">
        <f t="shared" si="48"/>
        <v>0</v>
      </c>
      <c r="CV46" s="117"/>
      <c r="CW46" s="117">
        <f t="shared" si="48"/>
        <v>0</v>
      </c>
      <c r="CX46" s="117"/>
      <c r="CY46" s="117">
        <f t="shared" si="48"/>
        <v>0</v>
      </c>
      <c r="CZ46" s="117"/>
      <c r="DA46" s="117">
        <f t="shared" si="48"/>
        <v>0</v>
      </c>
      <c r="DB46" s="84"/>
    </row>
    <row r="47" spans="1:106" s="190" customFormat="1" ht="6.75" customHeight="1">
      <c r="A47" s="179"/>
      <c r="B47" s="180"/>
      <c r="C47" s="659"/>
      <c r="D47" s="515"/>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483"/>
      <c r="AV47" s="293"/>
      <c r="AW47" s="293"/>
      <c r="AX47" s="293"/>
      <c r="AY47" s="483"/>
      <c r="AZ47" s="483"/>
      <c r="BA47" s="483"/>
      <c r="BB47" s="483"/>
      <c r="BC47" s="191"/>
      <c r="BD47" s="325" t="s">
        <v>469</v>
      </c>
      <c r="BE47" s="326" t="s">
        <v>527</v>
      </c>
      <c r="BF47" s="98"/>
      <c r="BG47" s="540" t="str">
        <f>IF(OR(ISBLANK(F21),ISBLANK(F22),ISBLANK(F23),ISBLANK(F24)),"N/A",IF((BG44=BG46),"ok","&lt;&gt;"))</f>
        <v>N/A</v>
      </c>
      <c r="BH47" s="540"/>
      <c r="BI47" s="540" t="str">
        <f aca="true" t="shared" si="49" ref="BI47:DA47">IF(OR(ISBLANK(H21),ISBLANK(H22),ISBLANK(H23),ISBLANK(H24)),"N/A",IF((BI44=BI46),"ok","&lt;&gt;"))</f>
        <v>N/A</v>
      </c>
      <c r="BJ47" s="540"/>
      <c r="BK47" s="540" t="str">
        <f t="shared" si="49"/>
        <v>N/A</v>
      </c>
      <c r="BL47" s="540"/>
      <c r="BM47" s="540" t="str">
        <f t="shared" si="49"/>
        <v>N/A</v>
      </c>
      <c r="BN47" s="540"/>
      <c r="BO47" s="540" t="str">
        <f t="shared" si="49"/>
        <v>N/A</v>
      </c>
      <c r="BP47" s="540"/>
      <c r="BQ47" s="540" t="str">
        <f t="shared" si="49"/>
        <v>N/A</v>
      </c>
      <c r="BR47" s="540"/>
      <c r="BS47" s="540" t="str">
        <f t="shared" si="49"/>
        <v>N/A</v>
      </c>
      <c r="BT47" s="540"/>
      <c r="BU47" s="540" t="str">
        <f t="shared" si="49"/>
        <v>N/A</v>
      </c>
      <c r="BV47" s="540"/>
      <c r="BW47" s="540" t="str">
        <f t="shared" si="49"/>
        <v>N/A</v>
      </c>
      <c r="BX47" s="540"/>
      <c r="BY47" s="540" t="str">
        <f t="shared" si="49"/>
        <v>N/A</v>
      </c>
      <c r="BZ47" s="540"/>
      <c r="CA47" s="540" t="str">
        <f t="shared" si="49"/>
        <v>N/A</v>
      </c>
      <c r="CB47" s="540"/>
      <c r="CC47" s="540" t="str">
        <f t="shared" si="49"/>
        <v>N/A</v>
      </c>
      <c r="CD47" s="540"/>
      <c r="CE47" s="540" t="str">
        <f t="shared" si="49"/>
        <v>N/A</v>
      </c>
      <c r="CF47" s="540"/>
      <c r="CG47" s="540" t="str">
        <f t="shared" si="49"/>
        <v>N/A</v>
      </c>
      <c r="CH47" s="540"/>
      <c r="CI47" s="540" t="str">
        <f t="shared" si="49"/>
        <v>N/A</v>
      </c>
      <c r="CJ47" s="540"/>
      <c r="CK47" s="540" t="str">
        <f t="shared" si="49"/>
        <v>N/A</v>
      </c>
      <c r="CL47" s="540"/>
      <c r="CM47" s="540" t="str">
        <f t="shared" si="49"/>
        <v>N/A</v>
      </c>
      <c r="CN47" s="540"/>
      <c r="CO47" s="540" t="str">
        <f t="shared" si="49"/>
        <v>N/A</v>
      </c>
      <c r="CP47" s="540"/>
      <c r="CQ47" s="540" t="str">
        <f t="shared" si="49"/>
        <v>N/A</v>
      </c>
      <c r="CR47" s="540"/>
      <c r="CS47" s="540" t="str">
        <f t="shared" si="49"/>
        <v>N/A</v>
      </c>
      <c r="CT47" s="540"/>
      <c r="CU47" s="540" t="str">
        <f t="shared" si="49"/>
        <v>N/A</v>
      </c>
      <c r="CV47" s="540"/>
      <c r="CW47" s="540" t="str">
        <f t="shared" si="49"/>
        <v>N/A</v>
      </c>
      <c r="CX47" s="540"/>
      <c r="CY47" s="540" t="str">
        <f t="shared" si="49"/>
        <v>N/A</v>
      </c>
      <c r="CZ47" s="540"/>
      <c r="DA47" s="540" t="str">
        <f t="shared" si="49"/>
        <v>N/A</v>
      </c>
      <c r="DB47" s="272"/>
    </row>
    <row r="48" spans="1:106" s="447" customFormat="1" ht="17.25" customHeight="1">
      <c r="A48" s="446"/>
      <c r="B48" s="428">
        <v>2</v>
      </c>
      <c r="C48" s="411" t="s">
        <v>308</v>
      </c>
      <c r="D48" s="412"/>
      <c r="E48" s="411"/>
      <c r="F48" s="210"/>
      <c r="G48" s="210"/>
      <c r="H48" s="413"/>
      <c r="I48" s="414"/>
      <c r="J48" s="414"/>
      <c r="K48" s="414"/>
      <c r="L48" s="414"/>
      <c r="M48" s="414"/>
      <c r="N48" s="414"/>
      <c r="O48" s="414"/>
      <c r="P48" s="415"/>
      <c r="Q48" s="414"/>
      <c r="R48" s="415"/>
      <c r="S48" s="414"/>
      <c r="T48" s="415"/>
      <c r="U48" s="414"/>
      <c r="V48" s="415"/>
      <c r="W48" s="414"/>
      <c r="X48" s="413"/>
      <c r="Y48" s="414"/>
      <c r="Z48" s="413"/>
      <c r="AA48" s="414"/>
      <c r="AB48" s="413"/>
      <c r="AC48" s="414"/>
      <c r="AD48" s="413"/>
      <c r="AE48" s="414"/>
      <c r="AF48" s="413"/>
      <c r="AG48" s="416"/>
      <c r="AH48" s="413"/>
      <c r="AI48" s="414"/>
      <c r="AJ48" s="415"/>
      <c r="AK48" s="414"/>
      <c r="AL48" s="413"/>
      <c r="AM48" s="414"/>
      <c r="AN48" s="413"/>
      <c r="AO48" s="414"/>
      <c r="AP48" s="414"/>
      <c r="AQ48" s="414"/>
      <c r="AR48" s="414"/>
      <c r="AS48" s="414"/>
      <c r="AT48" s="367"/>
      <c r="AU48" s="366"/>
      <c r="AV48" s="414"/>
      <c r="AW48" s="414"/>
      <c r="AX48" s="367"/>
      <c r="AY48" s="366"/>
      <c r="AZ48" s="367"/>
      <c r="BA48" s="366"/>
      <c r="BB48" s="453"/>
      <c r="BC48" s="213"/>
      <c r="BD48" s="327" t="s">
        <v>429</v>
      </c>
      <c r="BE48" s="328" t="s">
        <v>430</v>
      </c>
      <c r="BF48" s="291"/>
      <c r="BG48" s="541"/>
      <c r="BH48" s="54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542"/>
      <c r="CH48" s="541"/>
      <c r="CI48" s="291"/>
      <c r="CJ48" s="291"/>
      <c r="CK48" s="291"/>
      <c r="CL48" s="291"/>
      <c r="CM48" s="291"/>
      <c r="CN48" s="291"/>
      <c r="CO48" s="291"/>
      <c r="CP48" s="291"/>
      <c r="CQ48" s="291"/>
      <c r="CR48" s="291"/>
      <c r="CS48" s="291"/>
      <c r="CT48" s="291"/>
      <c r="CU48" s="291"/>
      <c r="CV48" s="291"/>
      <c r="CW48" s="291"/>
      <c r="CX48" s="291"/>
      <c r="CY48" s="291"/>
      <c r="CZ48" s="291"/>
      <c r="DA48" s="291"/>
      <c r="DB48" s="84"/>
    </row>
    <row r="49" spans="3:106" ht="3.75" customHeight="1">
      <c r="C49" s="417"/>
      <c r="D49" s="417"/>
      <c r="E49" s="418"/>
      <c r="F49" s="353"/>
      <c r="G49" s="353"/>
      <c r="H49" s="349"/>
      <c r="I49" s="350"/>
      <c r="J49" s="350"/>
      <c r="K49" s="350"/>
      <c r="L49" s="350"/>
      <c r="M49" s="350"/>
      <c r="N49" s="350"/>
      <c r="O49" s="350"/>
      <c r="P49" s="351"/>
      <c r="Q49" s="350"/>
      <c r="R49" s="351"/>
      <c r="S49" s="350"/>
      <c r="T49" s="351"/>
      <c r="U49" s="350"/>
      <c r="V49" s="351"/>
      <c r="W49" s="350"/>
      <c r="X49" s="349"/>
      <c r="Y49" s="350"/>
      <c r="Z49" s="349"/>
      <c r="AA49" s="350"/>
      <c r="AB49" s="349"/>
      <c r="AC49" s="350"/>
      <c r="AD49" s="349"/>
      <c r="AE49" s="350"/>
      <c r="AF49" s="349"/>
      <c r="AG49" s="419"/>
      <c r="AH49" s="349"/>
      <c r="AI49" s="350"/>
      <c r="AJ49" s="351"/>
      <c r="AK49" s="350"/>
      <c r="AL49" s="349"/>
      <c r="AM49" s="352"/>
      <c r="AN49" s="347"/>
      <c r="AO49" s="352"/>
      <c r="AP49" s="352"/>
      <c r="AQ49" s="352"/>
      <c r="AR49" s="352"/>
      <c r="AS49" s="352"/>
      <c r="AV49" s="352"/>
      <c r="AW49" s="352"/>
      <c r="BD49" s="327" t="s">
        <v>431</v>
      </c>
      <c r="BE49" s="328" t="s">
        <v>432</v>
      </c>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c r="CL49" s="291"/>
      <c r="CM49" s="291"/>
      <c r="CN49" s="291"/>
      <c r="CO49" s="291"/>
      <c r="CP49" s="291"/>
      <c r="CQ49" s="291"/>
      <c r="CR49" s="291"/>
      <c r="CS49" s="291"/>
      <c r="CT49" s="291"/>
      <c r="CU49" s="291"/>
      <c r="CV49" s="291"/>
      <c r="CW49" s="291"/>
      <c r="CX49" s="291"/>
      <c r="CY49" s="291"/>
      <c r="CZ49" s="291"/>
      <c r="DA49" s="291"/>
      <c r="DB49" s="272"/>
    </row>
    <row r="50" spans="3:106" ht="24" customHeight="1">
      <c r="C50" s="324" t="s">
        <v>550</v>
      </c>
      <c r="D50" s="487" t="s">
        <v>309</v>
      </c>
      <c r="E50" s="487"/>
      <c r="F50" s="488"/>
      <c r="G50" s="488"/>
      <c r="H50" s="489"/>
      <c r="I50" s="490"/>
      <c r="J50" s="490"/>
      <c r="K50" s="490"/>
      <c r="L50" s="490"/>
      <c r="M50" s="490"/>
      <c r="N50" s="490"/>
      <c r="O50" s="490"/>
      <c r="P50" s="491"/>
      <c r="Q50" s="490"/>
      <c r="R50" s="491"/>
      <c r="S50" s="490"/>
      <c r="T50" s="491"/>
      <c r="U50" s="490"/>
      <c r="V50" s="491"/>
      <c r="W50" s="490"/>
      <c r="X50" s="489"/>
      <c r="Y50" s="490"/>
      <c r="Z50" s="489"/>
      <c r="AA50" s="490"/>
      <c r="AB50" s="489"/>
      <c r="AC50" s="490"/>
      <c r="AD50" s="489"/>
      <c r="AE50" s="490"/>
      <c r="AF50" s="489"/>
      <c r="AG50" s="492"/>
      <c r="AH50" s="489"/>
      <c r="AI50" s="490"/>
      <c r="AJ50" s="491"/>
      <c r="AK50" s="490"/>
      <c r="AL50" s="489"/>
      <c r="AM50" s="490"/>
      <c r="AN50" s="489"/>
      <c r="AO50" s="490"/>
      <c r="AP50" s="490"/>
      <c r="AQ50" s="490"/>
      <c r="AR50" s="490"/>
      <c r="AS50" s="490"/>
      <c r="AT50" s="489"/>
      <c r="AU50" s="490"/>
      <c r="AV50" s="490"/>
      <c r="AW50" s="490"/>
      <c r="AX50" s="489"/>
      <c r="AY50" s="490"/>
      <c r="AZ50" s="489"/>
      <c r="BA50" s="490"/>
      <c r="BB50" s="493"/>
      <c r="BD50" s="329" t="s">
        <v>434</v>
      </c>
      <c r="BE50" s="328" t="s">
        <v>436</v>
      </c>
      <c r="BF50" s="291"/>
      <c r="BG50" s="291"/>
      <c r="BH50" s="291"/>
      <c r="BI50" s="291"/>
      <c r="BJ50" s="291"/>
      <c r="BK50" s="291"/>
      <c r="BL50" s="291"/>
      <c r="BM50" s="291"/>
      <c r="BN50" s="291"/>
      <c r="BO50" s="291"/>
      <c r="BP50" s="291"/>
      <c r="BQ50" s="291"/>
      <c r="BR50" s="291"/>
      <c r="BS50" s="291"/>
      <c r="BT50" s="291"/>
      <c r="BU50" s="291"/>
      <c r="BV50" s="291"/>
      <c r="BW50" s="291"/>
      <c r="BX50" s="291"/>
      <c r="BY50" s="291"/>
      <c r="BZ50" s="291"/>
      <c r="CA50" s="291"/>
      <c r="CB50" s="291"/>
      <c r="CC50" s="291"/>
      <c r="CD50" s="291"/>
      <c r="CE50" s="291"/>
      <c r="CF50" s="291"/>
      <c r="CG50" s="291"/>
      <c r="CH50" s="291"/>
      <c r="CI50" s="291"/>
      <c r="CJ50" s="291"/>
      <c r="CK50" s="291"/>
      <c r="CL50" s="291"/>
      <c r="CM50" s="291"/>
      <c r="CN50" s="291"/>
      <c r="CO50" s="291"/>
      <c r="CP50" s="291"/>
      <c r="CQ50" s="291"/>
      <c r="CR50" s="291"/>
      <c r="CS50" s="291"/>
      <c r="CT50" s="291"/>
      <c r="CU50" s="291"/>
      <c r="CV50" s="291"/>
      <c r="CW50" s="291"/>
      <c r="CX50" s="291"/>
      <c r="CY50" s="291"/>
      <c r="CZ50" s="291"/>
      <c r="DA50" s="291"/>
      <c r="DB50" s="84"/>
    </row>
    <row r="51" spans="3:106" ht="18" customHeight="1">
      <c r="C51" s="580"/>
      <c r="D51" s="803"/>
      <c r="E51" s="804"/>
      <c r="F51" s="804"/>
      <c r="G51" s="804"/>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4"/>
      <c r="AY51" s="804"/>
      <c r="AZ51" s="804"/>
      <c r="BA51" s="804"/>
      <c r="BB51" s="805"/>
      <c r="BD51" s="329" t="s">
        <v>433</v>
      </c>
      <c r="BE51" s="328" t="s">
        <v>395</v>
      </c>
      <c r="BF51" s="291"/>
      <c r="BG51" s="291"/>
      <c r="BH51" s="291"/>
      <c r="BI51" s="291"/>
      <c r="BJ51" s="291"/>
      <c r="BK51" s="291"/>
      <c r="BL51" s="291"/>
      <c r="BM51" s="291"/>
      <c r="BN51" s="291"/>
      <c r="BO51" s="291"/>
      <c r="BP51" s="291"/>
      <c r="BQ51" s="291"/>
      <c r="BR51" s="291"/>
      <c r="BS51" s="291"/>
      <c r="BT51" s="291"/>
      <c r="BU51" s="291"/>
      <c r="BV51" s="291"/>
      <c r="BW51" s="291"/>
      <c r="BX51" s="291"/>
      <c r="BY51" s="291"/>
      <c r="BZ51" s="291"/>
      <c r="CA51" s="291"/>
      <c r="CB51" s="291"/>
      <c r="CC51" s="291"/>
      <c r="CD51" s="291"/>
      <c r="CE51" s="291"/>
      <c r="CF51" s="291"/>
      <c r="CG51" s="541"/>
      <c r="CH51" s="291"/>
      <c r="CI51" s="291"/>
      <c r="CJ51" s="291"/>
      <c r="CK51" s="291"/>
      <c r="CL51" s="291"/>
      <c r="CM51" s="291"/>
      <c r="CN51" s="291"/>
      <c r="CO51" s="291"/>
      <c r="CP51" s="291"/>
      <c r="CQ51" s="291"/>
      <c r="CR51" s="291"/>
      <c r="CS51" s="291"/>
      <c r="CT51" s="291"/>
      <c r="CU51" s="291"/>
      <c r="CV51" s="291"/>
      <c r="CW51" s="291"/>
      <c r="CX51" s="291"/>
      <c r="CY51" s="291"/>
      <c r="CZ51" s="291"/>
      <c r="DA51" s="291"/>
      <c r="DB51" s="98"/>
    </row>
    <row r="52" spans="3:106" ht="18" customHeight="1">
      <c r="C52" s="58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AZ52" s="798"/>
      <c r="BA52" s="798"/>
      <c r="BB52" s="799"/>
      <c r="BD52" s="327"/>
      <c r="BE52" s="328"/>
      <c r="BF52" s="291"/>
      <c r="BG52" s="541"/>
      <c r="BH52" s="54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541"/>
      <c r="CH52" s="541"/>
      <c r="CI52" s="291"/>
      <c r="CJ52" s="291"/>
      <c r="CK52" s="291"/>
      <c r="CL52" s="291"/>
      <c r="CM52" s="291"/>
      <c r="CN52" s="291"/>
      <c r="CO52" s="291"/>
      <c r="CP52" s="291"/>
      <c r="CQ52" s="291"/>
      <c r="CR52" s="291"/>
      <c r="CS52" s="291"/>
      <c r="CT52" s="291"/>
      <c r="CU52" s="291"/>
      <c r="CV52" s="291"/>
      <c r="CW52" s="291"/>
      <c r="CX52" s="291"/>
      <c r="CY52" s="291"/>
      <c r="CZ52" s="291"/>
      <c r="DA52" s="291"/>
      <c r="DB52" s="291"/>
    </row>
    <row r="53" spans="3:106" ht="18" customHeight="1">
      <c r="C53" s="58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AZ53" s="798"/>
      <c r="BA53" s="798"/>
      <c r="BB53" s="799"/>
      <c r="BD53" s="327"/>
      <c r="BE53" s="328"/>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c r="CH53" s="291"/>
      <c r="CI53" s="291"/>
      <c r="CJ53" s="291"/>
      <c r="CK53" s="291"/>
      <c r="CL53" s="291"/>
      <c r="CM53" s="291"/>
      <c r="CN53" s="291"/>
      <c r="CO53" s="291"/>
      <c r="CP53" s="291"/>
      <c r="CQ53" s="291"/>
      <c r="CR53" s="291"/>
      <c r="CS53" s="291"/>
      <c r="CT53" s="291"/>
      <c r="CU53" s="291"/>
      <c r="CV53" s="291"/>
      <c r="CW53" s="291"/>
      <c r="CX53" s="291"/>
      <c r="CY53" s="291"/>
      <c r="CZ53" s="291"/>
      <c r="DA53" s="291"/>
      <c r="DB53" s="291"/>
    </row>
    <row r="54" spans="3:106" ht="18" customHeight="1">
      <c r="C54" s="58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9"/>
      <c r="BD54" s="329"/>
      <c r="BE54" s="328"/>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91"/>
      <c r="CN54" s="291"/>
      <c r="CO54" s="291"/>
      <c r="CP54" s="291"/>
      <c r="CQ54" s="291"/>
      <c r="CR54" s="291"/>
      <c r="CS54" s="291"/>
      <c r="CT54" s="291"/>
      <c r="CU54" s="291"/>
      <c r="CV54" s="291"/>
      <c r="CW54" s="291"/>
      <c r="CX54" s="291"/>
      <c r="CY54" s="291"/>
      <c r="CZ54" s="291"/>
      <c r="DA54" s="291"/>
      <c r="DB54" s="291"/>
    </row>
    <row r="55" spans="3:106" ht="18" customHeight="1">
      <c r="C55" s="58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AZ55" s="798"/>
      <c r="BA55" s="798"/>
      <c r="BB55" s="799"/>
      <c r="BD55" s="329"/>
      <c r="BE55" s="328"/>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row>
    <row r="56" spans="3:54" ht="18" customHeight="1">
      <c r="C56" s="58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9"/>
    </row>
    <row r="57" spans="3:54" ht="18" customHeight="1">
      <c r="C57" s="580"/>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8"/>
      <c r="BA57" s="798"/>
      <c r="BB57" s="799"/>
    </row>
    <row r="58" spans="3:54" ht="18" customHeight="1">
      <c r="C58" s="580"/>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9"/>
    </row>
    <row r="59" spans="3:54" ht="18" customHeight="1">
      <c r="C59" s="580"/>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9"/>
    </row>
    <row r="60" spans="3:54" ht="18" customHeight="1">
      <c r="C60" s="580"/>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8"/>
      <c r="AY60" s="798"/>
      <c r="AZ60" s="798"/>
      <c r="BA60" s="798"/>
      <c r="BB60" s="799"/>
    </row>
    <row r="61" spans="3:54" ht="18" customHeight="1">
      <c r="C61" s="580"/>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8"/>
      <c r="AY61" s="798"/>
      <c r="AZ61" s="798"/>
      <c r="BA61" s="798"/>
      <c r="BB61" s="799"/>
    </row>
    <row r="62" spans="3:54" ht="18" customHeight="1">
      <c r="C62" s="580"/>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798"/>
      <c r="AY62" s="798"/>
      <c r="AZ62" s="798"/>
      <c r="BA62" s="798"/>
      <c r="BB62" s="799"/>
    </row>
    <row r="63" spans="3:54" ht="18" customHeight="1">
      <c r="C63" s="580"/>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8"/>
      <c r="AY63" s="798"/>
      <c r="AZ63" s="798"/>
      <c r="BA63" s="798"/>
      <c r="BB63" s="799"/>
    </row>
    <row r="64" spans="3:54" ht="18" customHeight="1">
      <c r="C64" s="580"/>
      <c r="D64" s="797"/>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8"/>
      <c r="AY64" s="798"/>
      <c r="AZ64" s="798"/>
      <c r="BA64" s="798"/>
      <c r="BB64" s="799"/>
    </row>
    <row r="65" spans="3:54" ht="18" customHeight="1">
      <c r="C65" s="580"/>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8"/>
      <c r="AY65" s="798"/>
      <c r="AZ65" s="798"/>
      <c r="BA65" s="798"/>
      <c r="BB65" s="799"/>
    </row>
    <row r="66" spans="3:54" ht="18" customHeight="1">
      <c r="C66" s="580"/>
      <c r="D66" s="797"/>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8"/>
      <c r="AY66" s="798"/>
      <c r="AZ66" s="798"/>
      <c r="BA66" s="798"/>
      <c r="BB66" s="799"/>
    </row>
    <row r="67" spans="3:54" ht="18" customHeight="1">
      <c r="C67" s="580"/>
      <c r="D67" s="797"/>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9"/>
    </row>
    <row r="68" spans="3:54" ht="18" customHeight="1">
      <c r="C68" s="580"/>
      <c r="D68" s="797"/>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9"/>
    </row>
    <row r="69" spans="3:54" ht="18" customHeight="1">
      <c r="C69" s="580"/>
      <c r="D69" s="797"/>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798"/>
      <c r="BA69" s="798"/>
      <c r="BB69" s="799"/>
    </row>
    <row r="70" spans="3:54" ht="18" customHeight="1">
      <c r="C70" s="580"/>
      <c r="D70" s="797"/>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798"/>
      <c r="BA70" s="798"/>
      <c r="BB70" s="799"/>
    </row>
    <row r="71" spans="3:54" ht="18" customHeight="1">
      <c r="C71" s="590"/>
      <c r="D71" s="797"/>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798"/>
      <c r="BA71" s="798"/>
      <c r="BB71" s="799"/>
    </row>
    <row r="72" spans="3:54" ht="18" customHeight="1">
      <c r="C72" s="588"/>
      <c r="D72" s="800"/>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2"/>
    </row>
    <row r="73" spans="1:106" s="292" customFormat="1" ht="10.5" customHeight="1">
      <c r="A73" s="495"/>
      <c r="B73" s="432"/>
      <c r="C73" s="447"/>
      <c r="D73" s="447"/>
      <c r="E73" s="193"/>
      <c r="F73" s="218"/>
      <c r="G73" s="218"/>
      <c r="H73" s="279"/>
      <c r="I73" s="280"/>
      <c r="J73" s="280"/>
      <c r="K73" s="280"/>
      <c r="L73" s="280"/>
      <c r="M73" s="280"/>
      <c r="N73" s="280"/>
      <c r="O73" s="280"/>
      <c r="P73" s="281"/>
      <c r="Q73" s="280"/>
      <c r="R73" s="281"/>
      <c r="S73" s="280"/>
      <c r="T73" s="281"/>
      <c r="U73" s="280"/>
      <c r="V73" s="281"/>
      <c r="W73" s="280"/>
      <c r="X73" s="279"/>
      <c r="Y73" s="280"/>
      <c r="Z73" s="279"/>
      <c r="AA73" s="280"/>
      <c r="AB73" s="279"/>
      <c r="AC73" s="280"/>
      <c r="AD73" s="279"/>
      <c r="AE73" s="280"/>
      <c r="AF73" s="279"/>
      <c r="AG73" s="496"/>
      <c r="AH73" s="279"/>
      <c r="AI73" s="280"/>
      <c r="AJ73" s="281"/>
      <c r="AK73" s="280"/>
      <c r="AL73" s="279"/>
      <c r="AM73" s="280"/>
      <c r="AN73" s="279"/>
      <c r="AO73" s="352"/>
      <c r="AP73" s="352"/>
      <c r="AQ73" s="352"/>
      <c r="AR73" s="352"/>
      <c r="AS73" s="352"/>
      <c r="AT73" s="347"/>
      <c r="AU73" s="352"/>
      <c r="AV73" s="352"/>
      <c r="AW73" s="352"/>
      <c r="AX73" s="347"/>
      <c r="AY73" s="352"/>
      <c r="AZ73" s="347"/>
      <c r="BA73" s="352"/>
      <c r="BC73" s="448"/>
      <c r="BD73" s="448"/>
      <c r="BE73" s="448"/>
      <c r="BF73" s="448"/>
      <c r="BG73" s="448"/>
      <c r="BH73" s="448"/>
      <c r="BI73" s="448"/>
      <c r="BJ73" s="448"/>
      <c r="BK73" s="448"/>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s="448"/>
      <c r="CP73" s="448"/>
      <c r="CQ73" s="448"/>
      <c r="CR73" s="448"/>
      <c r="CS73" s="448"/>
      <c r="CT73" s="448"/>
      <c r="CU73" s="448"/>
      <c r="CV73" s="448"/>
      <c r="CW73" s="448"/>
      <c r="CX73" s="448"/>
      <c r="CY73" s="448"/>
      <c r="CZ73" s="448"/>
      <c r="DA73" s="448"/>
      <c r="DB73" s="448"/>
    </row>
    <row r="74" spans="56:96" ht="12.75">
      <c r="BD74" s="543"/>
      <c r="BE74" s="702"/>
      <c r="BF74" s="702"/>
      <c r="BG74" s="702"/>
      <c r="BH74" s="702"/>
      <c r="BI74" s="702"/>
      <c r="BJ74" s="702"/>
      <c r="BK74" s="702"/>
      <c r="BL74" s="702"/>
      <c r="BM74" s="702"/>
      <c r="BN74" s="702"/>
      <c r="BO74" s="702"/>
      <c r="BP74" s="702"/>
      <c r="BQ74" s="702"/>
      <c r="BR74" s="702"/>
      <c r="BS74" s="702"/>
      <c r="BT74" s="702"/>
      <c r="BU74" s="702"/>
      <c r="BV74" s="702"/>
      <c r="BW74" s="702"/>
      <c r="BX74" s="702"/>
      <c r="BY74" s="702"/>
      <c r="BZ74" s="702"/>
      <c r="CA74" s="702"/>
      <c r="CB74" s="702"/>
      <c r="CC74" s="702"/>
      <c r="CD74" s="702"/>
      <c r="CE74" s="702"/>
      <c r="CF74" s="702"/>
      <c r="CG74" s="702"/>
      <c r="CH74" s="702"/>
      <c r="CI74" s="702"/>
      <c r="CJ74" s="702"/>
      <c r="CK74" s="702"/>
      <c r="CL74" s="702"/>
      <c r="CM74" s="702"/>
      <c r="CN74" s="702"/>
      <c r="CO74" s="702"/>
      <c r="CP74" s="702"/>
      <c r="CQ74" s="702"/>
      <c r="CR74" s="702"/>
    </row>
    <row r="75" spans="56:96" ht="12.75">
      <c r="BD75" s="516"/>
      <c r="BE75" s="516"/>
      <c r="BF75" s="516"/>
      <c r="BG75" s="516"/>
      <c r="BH75" s="516"/>
      <c r="BI75" s="516"/>
      <c r="BJ75" s="516"/>
      <c r="BK75" s="516"/>
      <c r="BL75" s="516"/>
      <c r="BM75" s="516"/>
      <c r="BN75" s="516"/>
      <c r="BO75" s="516"/>
      <c r="BP75" s="516"/>
      <c r="BQ75" s="516"/>
      <c r="BR75" s="516"/>
      <c r="BS75" s="516"/>
      <c r="BT75" s="516"/>
      <c r="BU75" s="516"/>
      <c r="BV75" s="516"/>
      <c r="BW75" s="516"/>
      <c r="BX75" s="516"/>
      <c r="BY75" s="516"/>
      <c r="BZ75" s="516"/>
      <c r="CA75" s="516"/>
      <c r="CB75" s="516"/>
      <c r="CC75" s="516"/>
      <c r="CD75" s="516"/>
      <c r="CE75" s="516"/>
      <c r="CF75" s="516"/>
      <c r="CG75" s="516"/>
      <c r="CH75" s="516"/>
      <c r="CI75" s="516"/>
      <c r="CJ75" s="516"/>
      <c r="CK75" s="516"/>
      <c r="CL75" s="516"/>
      <c r="CM75" s="516"/>
      <c r="CN75" s="516"/>
      <c r="CO75" s="516"/>
      <c r="CP75" s="516"/>
      <c r="CQ75" s="516"/>
      <c r="CR75" s="516"/>
    </row>
    <row r="76" spans="56:96" ht="12.75">
      <c r="BD76" s="99"/>
      <c r="BE76" s="544"/>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row>
    <row r="77" spans="56:96" ht="12.75">
      <c r="BD77" s="99"/>
      <c r="BE77" s="544"/>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row>
    <row r="78" spans="56:96" ht="12.75">
      <c r="BD78" s="423"/>
      <c r="BE78" s="424"/>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row>
    <row r="79" spans="56:96" ht="12.75">
      <c r="BD79" s="423"/>
      <c r="BE79" s="424"/>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row>
    <row r="80" spans="56:96" ht="12.75">
      <c r="BD80" s="99"/>
      <c r="BE80" s="544"/>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row>
    <row r="81" spans="56:96" ht="12.75">
      <c r="BD81" s="99"/>
      <c r="BE81" s="545"/>
      <c r="BF81" s="99"/>
      <c r="BG81" s="99"/>
      <c r="BH81" s="99"/>
      <c r="BI81" s="116"/>
      <c r="BJ81" s="116"/>
      <c r="BK81" s="116"/>
      <c r="BL81" s="116"/>
      <c r="BM81" s="116"/>
      <c r="BN81" s="116"/>
      <c r="BO81" s="116"/>
      <c r="BP81" s="116"/>
      <c r="BQ81" s="116"/>
      <c r="BR81" s="116"/>
      <c r="BS81" s="116"/>
      <c r="BT81" s="116"/>
      <c r="BU81" s="116"/>
      <c r="BV81" s="116"/>
      <c r="BW81" s="99"/>
      <c r="BX81" s="99"/>
      <c r="BY81" s="99"/>
      <c r="BZ81" s="99"/>
      <c r="CA81" s="99"/>
      <c r="CB81" s="99"/>
      <c r="CC81" s="99"/>
      <c r="CD81" s="99"/>
      <c r="CE81" s="99"/>
      <c r="CF81" s="99"/>
      <c r="CG81" s="99"/>
      <c r="CH81" s="99"/>
      <c r="CI81" s="116"/>
      <c r="CJ81" s="116"/>
      <c r="CK81" s="99"/>
      <c r="CL81" s="99"/>
      <c r="CM81" s="99"/>
      <c r="CN81" s="99"/>
      <c r="CO81" s="99"/>
      <c r="CP81" s="99"/>
      <c r="CQ81" s="99"/>
      <c r="CR81" s="99"/>
    </row>
    <row r="82" spans="56:96" ht="12.75">
      <c r="BD82" s="99"/>
      <c r="BE82" s="544"/>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row>
    <row r="83" spans="56:96" ht="12.75">
      <c r="BD83" s="99"/>
      <c r="BE83" s="544"/>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row>
    <row r="84" spans="56:96" ht="12.75">
      <c r="BD84" s="99"/>
      <c r="BE84" s="544"/>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row>
    <row r="85" spans="56:96" ht="12.75">
      <c r="BD85" s="423"/>
      <c r="BE85" s="424"/>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row>
    <row r="86" spans="56:96" ht="12.75">
      <c r="BD86" s="99"/>
      <c r="BE86" s="544"/>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row>
    <row r="87" spans="56:96" ht="12.75">
      <c r="BD87" s="99"/>
      <c r="BE87" s="544"/>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row>
    <row r="88" spans="56:96" ht="12.75">
      <c r="BD88" s="423"/>
      <c r="BE88" s="424"/>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row>
    <row r="89" spans="56:96" ht="12.75">
      <c r="BD89" s="99"/>
      <c r="BE89" s="544"/>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row>
    <row r="90" spans="56:96" ht="12.75">
      <c r="BD90" s="423"/>
      <c r="BE90" s="424"/>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row>
    <row r="91" spans="56:96" ht="12.75">
      <c r="BD91" s="99"/>
      <c r="BE91" s="544"/>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row>
    <row r="92" spans="56:96" ht="12.75">
      <c r="BD92" s="99"/>
      <c r="BE92" s="544"/>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row>
    <row r="93" spans="56:96" ht="12.75">
      <c r="BD93" s="99"/>
      <c r="BE93" s="545"/>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row>
    <row r="94" spans="56:96" ht="12.75">
      <c r="BD94" s="99"/>
      <c r="BE94" s="544"/>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row>
    <row r="95" spans="56:96" ht="12.75">
      <c r="BD95" s="423"/>
      <c r="BE95" s="424"/>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row>
    <row r="96" spans="56:96" ht="12.75">
      <c r="BD96" s="448"/>
      <c r="BE96" s="448"/>
      <c r="BF96" s="448"/>
      <c r="BG96" s="448"/>
      <c r="BH96" s="448"/>
      <c r="BI96" s="448"/>
      <c r="BJ96" s="448"/>
      <c r="BK96" s="448"/>
      <c r="BL96" s="448"/>
      <c r="BM96" s="448"/>
      <c r="BN96" s="448"/>
      <c r="BO96" s="448"/>
      <c r="BP96" s="448"/>
      <c r="BQ96" s="448"/>
      <c r="BR96" s="448"/>
      <c r="BS96" s="448"/>
      <c r="BT96" s="448"/>
      <c r="BU96" s="448"/>
      <c r="BV96" s="448"/>
      <c r="BW96" s="448"/>
      <c r="BX96" s="448"/>
      <c r="BY96" s="448"/>
      <c r="BZ96" s="448"/>
      <c r="CA96" s="448"/>
      <c r="CB96" s="448"/>
      <c r="CC96" s="448"/>
      <c r="CD96" s="448"/>
      <c r="CE96" s="448"/>
      <c r="CF96" s="448"/>
      <c r="CG96" s="448"/>
      <c r="CH96" s="448"/>
      <c r="CI96" s="448"/>
      <c r="CJ96" s="448"/>
      <c r="CK96" s="448"/>
      <c r="CL96" s="448"/>
      <c r="CM96" s="448"/>
      <c r="CN96" s="448"/>
      <c r="CO96" s="448"/>
      <c r="CP96" s="448"/>
      <c r="CQ96" s="448"/>
      <c r="CR96" s="448"/>
    </row>
    <row r="97" spans="56:96" ht="12.75">
      <c r="BD97" s="99"/>
      <c r="BE97" s="544"/>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row>
    <row r="98" spans="56:96" ht="12.75">
      <c r="BD98" s="99"/>
      <c r="BE98" s="544"/>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row>
    <row r="99" spans="56:96" ht="12.75">
      <c r="BD99" s="423"/>
      <c r="BE99" s="424"/>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row>
    <row r="100" spans="56:96" ht="12.75">
      <c r="BD100" s="99"/>
      <c r="BE100" s="546"/>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row>
    <row r="101" spans="56:96" ht="12.75">
      <c r="BD101" s="547"/>
      <c r="BE101" s="424"/>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row>
    <row r="102" spans="56:96" ht="12.75">
      <c r="BD102" s="547"/>
      <c r="BE102" s="424"/>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row>
    <row r="103" spans="56:96" ht="12.75">
      <c r="BD103" s="547"/>
      <c r="BE103" s="424"/>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row>
    <row r="104" spans="56:96" ht="12.75">
      <c r="BD104" s="547"/>
      <c r="BE104" s="424"/>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row>
    <row r="105" spans="56:96" ht="12.75">
      <c r="BD105" s="547"/>
      <c r="BE105" s="424"/>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row>
    <row r="106" spans="56:96" ht="12.75">
      <c r="BD106" s="547"/>
      <c r="BE106" s="424"/>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row>
    <row r="107" spans="56:96" ht="12.75">
      <c r="BD107" s="547"/>
      <c r="BE107" s="424"/>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row>
    <row r="108" spans="56:96" ht="12.75">
      <c r="BD108" s="547"/>
      <c r="BE108" s="424"/>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row>
    <row r="109" spans="56:96" ht="12.75">
      <c r="BD109" s="547"/>
      <c r="BE109" s="424"/>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row>
    <row r="110" spans="56:96" ht="12.75">
      <c r="BD110" s="99"/>
      <c r="BE110" s="544"/>
      <c r="BF110" s="99"/>
      <c r="BG110" s="99"/>
      <c r="BH110" s="99"/>
      <c r="BI110" s="116"/>
      <c r="BJ110" s="116"/>
      <c r="BK110" s="116"/>
      <c r="BL110" s="116"/>
      <c r="BM110" s="116"/>
      <c r="BN110" s="116"/>
      <c r="BO110" s="116"/>
      <c r="BP110" s="116"/>
      <c r="BQ110" s="116"/>
      <c r="BR110" s="116"/>
      <c r="BS110" s="116"/>
      <c r="BT110" s="116"/>
      <c r="BU110" s="116"/>
      <c r="BV110" s="116"/>
      <c r="BW110" s="99"/>
      <c r="BX110" s="99"/>
      <c r="BY110" s="99"/>
      <c r="BZ110" s="99"/>
      <c r="CA110" s="99"/>
      <c r="CB110" s="99"/>
      <c r="CC110" s="99"/>
      <c r="CD110" s="99"/>
      <c r="CE110" s="99"/>
      <c r="CF110" s="99"/>
      <c r="CG110" s="99"/>
      <c r="CH110" s="99"/>
      <c r="CI110" s="116"/>
      <c r="CJ110" s="116"/>
      <c r="CK110" s="99"/>
      <c r="CL110" s="99"/>
      <c r="CM110" s="99"/>
      <c r="CN110" s="99"/>
      <c r="CO110" s="99"/>
      <c r="CP110" s="99"/>
      <c r="CQ110" s="99"/>
      <c r="CR110" s="99"/>
    </row>
    <row r="111" spans="56:96" ht="12.75">
      <c r="BD111" s="99"/>
      <c r="BE111" s="544"/>
      <c r="BF111" s="99"/>
      <c r="BG111" s="99"/>
      <c r="BH111" s="99"/>
      <c r="BI111" s="116"/>
      <c r="BJ111" s="116"/>
      <c r="BK111" s="116"/>
      <c r="BL111" s="116"/>
      <c r="BM111" s="116"/>
      <c r="BN111" s="116"/>
      <c r="BO111" s="116"/>
      <c r="BP111" s="116"/>
      <c r="BQ111" s="116"/>
      <c r="BR111" s="116"/>
      <c r="BS111" s="116"/>
      <c r="BT111" s="116"/>
      <c r="BU111" s="116"/>
      <c r="BV111" s="116"/>
      <c r="BW111" s="99"/>
      <c r="BX111" s="99"/>
      <c r="BY111" s="99"/>
      <c r="BZ111" s="99"/>
      <c r="CA111" s="99"/>
      <c r="CB111" s="99"/>
      <c r="CC111" s="99"/>
      <c r="CD111" s="99"/>
      <c r="CE111" s="99"/>
      <c r="CF111" s="99"/>
      <c r="CG111" s="99"/>
      <c r="CH111" s="99"/>
      <c r="CI111" s="116"/>
      <c r="CJ111" s="116"/>
      <c r="CK111" s="99"/>
      <c r="CL111" s="99"/>
      <c r="CM111" s="99"/>
      <c r="CN111" s="99"/>
      <c r="CO111" s="99"/>
      <c r="CP111" s="99"/>
      <c r="CQ111" s="99"/>
      <c r="CR111" s="99"/>
    </row>
    <row r="112" spans="56:96" ht="12.75">
      <c r="BD112" s="423"/>
      <c r="BE112" s="424"/>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row>
    <row r="113" spans="56:96" ht="12.75">
      <c r="BD113" s="99"/>
      <c r="BE113" s="544"/>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row>
    <row r="114" spans="56:96" ht="12.75">
      <c r="BD114" s="448"/>
      <c r="BE114" s="448"/>
      <c r="BF114" s="448"/>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row>
    <row r="115" spans="58:96" ht="12.75">
      <c r="BF115" s="99"/>
      <c r="BG115" s="448"/>
      <c r="BH115" s="448"/>
      <c r="BI115" s="116"/>
      <c r="BJ115" s="116"/>
      <c r="BK115" s="116"/>
      <c r="BL115" s="116"/>
      <c r="BM115" s="116"/>
      <c r="BN115" s="116"/>
      <c r="BO115" s="116"/>
      <c r="BP115" s="116"/>
      <c r="BQ115" s="116"/>
      <c r="BR115" s="116"/>
      <c r="BS115" s="116"/>
      <c r="BT115" s="116"/>
      <c r="BU115" s="116"/>
      <c r="BV115" s="116"/>
      <c r="BW115" s="99"/>
      <c r="BX115" s="99"/>
      <c r="BY115" s="99"/>
      <c r="BZ115" s="99"/>
      <c r="CA115" s="99"/>
      <c r="CB115" s="99"/>
      <c r="CC115" s="99"/>
      <c r="CD115" s="99"/>
      <c r="CE115" s="99"/>
      <c r="CF115" s="99"/>
      <c r="CG115" s="99"/>
      <c r="CH115" s="99"/>
      <c r="CI115" s="116"/>
      <c r="CJ115" s="116"/>
      <c r="CK115" s="99"/>
      <c r="CL115" s="99"/>
      <c r="CM115" s="99"/>
      <c r="CN115" s="99"/>
      <c r="CO115" s="99"/>
      <c r="CP115" s="99"/>
      <c r="CQ115" s="99"/>
      <c r="CR115" s="99"/>
    </row>
    <row r="116" spans="58:96" ht="12.75">
      <c r="BF116" s="448"/>
      <c r="BG116" s="448"/>
      <c r="BH116" s="448"/>
      <c r="BI116" s="448"/>
      <c r="BJ116" s="448"/>
      <c r="BK116" s="448"/>
      <c r="BL116" s="448"/>
      <c r="BM116" s="448"/>
      <c r="BN116" s="448"/>
      <c r="BO116" s="448"/>
      <c r="BP116" s="448"/>
      <c r="BQ116" s="448"/>
      <c r="BR116" s="448"/>
      <c r="BS116" s="448"/>
      <c r="BT116" s="448"/>
      <c r="BU116" s="448"/>
      <c r="BV116" s="448"/>
      <c r="BW116" s="448"/>
      <c r="BX116" s="448"/>
      <c r="BY116" s="448"/>
      <c r="BZ116" s="448"/>
      <c r="CA116" s="448"/>
      <c r="CB116" s="448"/>
      <c r="CC116" s="448"/>
      <c r="CD116" s="448"/>
      <c r="CE116" s="448"/>
      <c r="CF116" s="448"/>
      <c r="CG116" s="448"/>
      <c r="CH116" s="448"/>
      <c r="CI116" s="448"/>
      <c r="CJ116" s="448"/>
      <c r="CK116" s="448"/>
      <c r="CL116" s="448"/>
      <c r="CM116" s="448"/>
      <c r="CN116" s="448"/>
      <c r="CO116" s="448"/>
      <c r="CP116" s="448"/>
      <c r="CQ116" s="448"/>
      <c r="CR116" s="448"/>
    </row>
    <row r="117" spans="56:96" ht="12.75">
      <c r="BD117" s="448"/>
      <c r="BE117" s="548"/>
      <c r="BF117" s="448"/>
      <c r="BG117" s="448"/>
      <c r="BH117" s="448"/>
      <c r="BI117" s="448"/>
      <c r="BJ117" s="448"/>
      <c r="BK117" s="448"/>
      <c r="BL117" s="448"/>
      <c r="BM117" s="448"/>
      <c r="BN117" s="448"/>
      <c r="BO117" s="448"/>
      <c r="BP117" s="448"/>
      <c r="BQ117" s="448"/>
      <c r="BR117" s="448"/>
      <c r="BS117" s="448"/>
      <c r="BT117" s="448"/>
      <c r="BU117" s="448"/>
      <c r="BV117" s="448"/>
      <c r="BW117" s="448"/>
      <c r="BX117" s="448"/>
      <c r="BY117" s="448"/>
      <c r="BZ117" s="448"/>
      <c r="CA117" s="448"/>
      <c r="CB117" s="448"/>
      <c r="CC117" s="448"/>
      <c r="CD117" s="448"/>
      <c r="CE117" s="448"/>
      <c r="CF117" s="448"/>
      <c r="CG117" s="448"/>
      <c r="CH117" s="448"/>
      <c r="CI117" s="448"/>
      <c r="CJ117" s="448"/>
      <c r="CK117" s="448"/>
      <c r="CL117" s="448"/>
      <c r="CM117" s="448"/>
      <c r="CN117" s="448"/>
      <c r="CO117" s="448"/>
      <c r="CP117" s="448"/>
      <c r="CQ117" s="448"/>
      <c r="CR117" s="448"/>
    </row>
  </sheetData>
  <sheetProtection sheet="1" objects="1" scenarios="1" formatCells="0" formatColumns="0" formatRows="0" insertColumns="0"/>
  <mergeCells count="33">
    <mergeCell ref="D62:BB62"/>
    <mergeCell ref="D63:BB63"/>
    <mergeCell ref="D56:BB56"/>
    <mergeCell ref="D72:BB72"/>
    <mergeCell ref="D65:BB65"/>
    <mergeCell ref="D66:BB66"/>
    <mergeCell ref="D67:BB67"/>
    <mergeCell ref="D68:BB68"/>
    <mergeCell ref="D64:BB64"/>
    <mergeCell ref="D70:BB70"/>
    <mergeCell ref="D71:BB71"/>
    <mergeCell ref="D69:BB69"/>
    <mergeCell ref="C5:AN5"/>
    <mergeCell ref="D30:BB30"/>
    <mergeCell ref="D53:BB53"/>
    <mergeCell ref="D54:BB54"/>
    <mergeCell ref="D32:BB32"/>
    <mergeCell ref="U34:AB34"/>
    <mergeCell ref="AI6:AZ6"/>
    <mergeCell ref="D61:BB61"/>
    <mergeCell ref="D57:BB57"/>
    <mergeCell ref="D55:BB55"/>
    <mergeCell ref="D60:BB60"/>
    <mergeCell ref="J38:N41"/>
    <mergeCell ref="D59:BB59"/>
    <mergeCell ref="D58:BB58"/>
    <mergeCell ref="U46:AB46"/>
    <mergeCell ref="D33:BB33"/>
    <mergeCell ref="U38:AB38"/>
    <mergeCell ref="U42:AB42"/>
    <mergeCell ref="D31:BB31"/>
    <mergeCell ref="D52:BB52"/>
    <mergeCell ref="D51:BB51"/>
  </mergeCells>
  <conditionalFormatting sqref="F8">
    <cfRule type="cellIs" priority="92" dxfId="367" operator="lessThan" stopIfTrue="1">
      <formula>0.99*(F9+F11+F12+F15+F16)</formula>
    </cfRule>
  </conditionalFormatting>
  <conditionalFormatting sqref="F17">
    <cfRule type="cellIs" priority="91" dxfId="367" operator="lessThan" stopIfTrue="1">
      <formula>0.99*(F18+F19+F20)</formula>
    </cfRule>
  </conditionalFormatting>
  <conditionalFormatting sqref="F21">
    <cfRule type="cellIs" priority="90" dxfId="367" operator="lessThan" stopIfTrue="1">
      <formula>0.99*(F22+F23+F24)</formula>
    </cfRule>
  </conditionalFormatting>
  <conditionalFormatting sqref="H8">
    <cfRule type="cellIs" priority="89" dxfId="367" operator="lessThan" stopIfTrue="1">
      <formula>0.99*(H9+H11+H12+H15+H16)</formula>
    </cfRule>
  </conditionalFormatting>
  <conditionalFormatting sqref="H17">
    <cfRule type="cellIs" priority="88" dxfId="367" operator="lessThan" stopIfTrue="1">
      <formula>0.99*(H18+H19+H20)</formula>
    </cfRule>
  </conditionalFormatting>
  <conditionalFormatting sqref="H21">
    <cfRule type="cellIs" priority="87" dxfId="367" operator="lessThan" stopIfTrue="1">
      <formula>0.99*(H22+H23+H24)</formula>
    </cfRule>
  </conditionalFormatting>
  <conditionalFormatting sqref="J8">
    <cfRule type="cellIs" priority="86" dxfId="367" operator="lessThan" stopIfTrue="1">
      <formula>0.99*(J9+J11+J12+J15+J16)</formula>
    </cfRule>
  </conditionalFormatting>
  <conditionalFormatting sqref="J17">
    <cfRule type="cellIs" priority="85" dxfId="367" operator="lessThan" stopIfTrue="1">
      <formula>0.99*(J18+J19+J20)</formula>
    </cfRule>
  </conditionalFormatting>
  <conditionalFormatting sqref="J21">
    <cfRule type="cellIs" priority="84" dxfId="367" operator="lessThan" stopIfTrue="1">
      <formula>0.99*(J22+J23+J24)</formula>
    </cfRule>
  </conditionalFormatting>
  <conditionalFormatting sqref="L8">
    <cfRule type="cellIs" priority="83" dxfId="367" operator="lessThan" stopIfTrue="1">
      <formula>0.99*(L9+L11+L12+L15+L16)</formula>
    </cfRule>
  </conditionalFormatting>
  <conditionalFormatting sqref="L17">
    <cfRule type="cellIs" priority="82" dxfId="367" operator="lessThan" stopIfTrue="1">
      <formula>0.99*(L18+L19+L20)</formula>
    </cfRule>
  </conditionalFormatting>
  <conditionalFormatting sqref="L21">
    <cfRule type="cellIs" priority="81" dxfId="367" operator="lessThan" stopIfTrue="1">
      <formula>0.99*(L22+L23+L24)</formula>
    </cfRule>
  </conditionalFormatting>
  <conditionalFormatting sqref="N8">
    <cfRule type="cellIs" priority="80" dxfId="367" operator="lessThan" stopIfTrue="1">
      <formula>0.99*(N9+N11+N12+N15+N16)</formula>
    </cfRule>
  </conditionalFormatting>
  <conditionalFormatting sqref="N17">
    <cfRule type="cellIs" priority="79" dxfId="367" operator="lessThan" stopIfTrue="1">
      <formula>0.99*(N18+N19+N20)</formula>
    </cfRule>
  </conditionalFormatting>
  <conditionalFormatting sqref="N21">
    <cfRule type="cellIs" priority="78" dxfId="367" operator="lessThan" stopIfTrue="1">
      <formula>0.99*(N22+N23+N24)</formula>
    </cfRule>
  </conditionalFormatting>
  <conditionalFormatting sqref="P8">
    <cfRule type="cellIs" priority="77" dxfId="367" operator="lessThan" stopIfTrue="1">
      <formula>0.99*(P9+P11+P12+P15+P16)</formula>
    </cfRule>
  </conditionalFormatting>
  <conditionalFormatting sqref="P17">
    <cfRule type="cellIs" priority="76" dxfId="367" operator="lessThan" stopIfTrue="1">
      <formula>0.99*(P18+P19+P20)</formula>
    </cfRule>
  </conditionalFormatting>
  <conditionalFormatting sqref="P21">
    <cfRule type="cellIs" priority="75" dxfId="367" operator="lessThan" stopIfTrue="1">
      <formula>0.99*(P22+P23+P24)</formula>
    </cfRule>
  </conditionalFormatting>
  <conditionalFormatting sqref="R8">
    <cfRule type="cellIs" priority="74" dxfId="367" operator="lessThan" stopIfTrue="1">
      <formula>0.99*(R9+R11+R12+R15+R16)</formula>
    </cfRule>
  </conditionalFormatting>
  <conditionalFormatting sqref="R17">
    <cfRule type="cellIs" priority="73" dxfId="367" operator="lessThan" stopIfTrue="1">
      <formula>0.99*(R18+R19+R20)</formula>
    </cfRule>
  </conditionalFormatting>
  <conditionalFormatting sqref="R21">
    <cfRule type="cellIs" priority="72" dxfId="367" operator="lessThan" stopIfTrue="1">
      <formula>0.99*(R22+R23+R24)</formula>
    </cfRule>
  </conditionalFormatting>
  <conditionalFormatting sqref="T8">
    <cfRule type="cellIs" priority="71" dxfId="367" operator="lessThan" stopIfTrue="1">
      <formula>0.99*(T9+T11+T12+T15+T16)</formula>
    </cfRule>
  </conditionalFormatting>
  <conditionalFormatting sqref="T17">
    <cfRule type="cellIs" priority="70" dxfId="367" operator="lessThan" stopIfTrue="1">
      <formula>0.99*(T18+T19+T20)</formula>
    </cfRule>
  </conditionalFormatting>
  <conditionalFormatting sqref="T21">
    <cfRule type="cellIs" priority="69" dxfId="367" operator="lessThan" stopIfTrue="1">
      <formula>0.99*(T22+T23+T24)</formula>
    </cfRule>
  </conditionalFormatting>
  <conditionalFormatting sqref="V8">
    <cfRule type="cellIs" priority="68" dxfId="367" operator="lessThan" stopIfTrue="1">
      <formula>0.99*(V9+V11+V12+V15+V16)</formula>
    </cfRule>
  </conditionalFormatting>
  <conditionalFormatting sqref="V17">
    <cfRule type="cellIs" priority="67" dxfId="367" operator="lessThan" stopIfTrue="1">
      <formula>0.99*(V18+V19+V20)</formula>
    </cfRule>
  </conditionalFormatting>
  <conditionalFormatting sqref="V21">
    <cfRule type="cellIs" priority="66" dxfId="367" operator="lessThan" stopIfTrue="1">
      <formula>0.99*(V22+V23+V24)</formula>
    </cfRule>
  </conditionalFormatting>
  <conditionalFormatting sqref="X8">
    <cfRule type="cellIs" priority="65" dxfId="367" operator="lessThan" stopIfTrue="1">
      <formula>0.99*(X9+X11+X12+X15+X16)</formula>
    </cfRule>
  </conditionalFormatting>
  <conditionalFormatting sqref="X17">
    <cfRule type="cellIs" priority="64" dxfId="367" operator="lessThan" stopIfTrue="1">
      <formula>0.99*(X18+X19+X20)</formula>
    </cfRule>
  </conditionalFormatting>
  <conditionalFormatting sqref="X21">
    <cfRule type="cellIs" priority="63" dxfId="367" operator="lessThan" stopIfTrue="1">
      <formula>0.99*(X22+X23+X24)</formula>
    </cfRule>
  </conditionalFormatting>
  <conditionalFormatting sqref="Z8">
    <cfRule type="cellIs" priority="62" dxfId="367" operator="lessThan" stopIfTrue="1">
      <formula>0.99*(Z9+Z11+Z12+Z15+Z16)</formula>
    </cfRule>
  </conditionalFormatting>
  <conditionalFormatting sqref="Z17">
    <cfRule type="cellIs" priority="61" dxfId="367" operator="lessThan" stopIfTrue="1">
      <formula>0.99*(Z18+Z19+Z20)</formula>
    </cfRule>
  </conditionalFormatting>
  <conditionalFormatting sqref="Z21">
    <cfRule type="cellIs" priority="60" dxfId="367" operator="lessThan" stopIfTrue="1">
      <formula>0.99*(Z22+Z23+Z24)</formula>
    </cfRule>
  </conditionalFormatting>
  <conditionalFormatting sqref="AB8">
    <cfRule type="cellIs" priority="59" dxfId="367" operator="lessThan" stopIfTrue="1">
      <formula>0.99*(AB9+AB11+AB12+AB15+AB16)</formula>
    </cfRule>
  </conditionalFormatting>
  <conditionalFormatting sqref="AB17">
    <cfRule type="cellIs" priority="58" dxfId="367" operator="lessThan" stopIfTrue="1">
      <formula>0.99*(AB18+AB19+AB20)</formula>
    </cfRule>
  </conditionalFormatting>
  <conditionalFormatting sqref="AB21">
    <cfRule type="cellIs" priority="57" dxfId="367" operator="lessThan" stopIfTrue="1">
      <formula>0.99*(AB22+AB23+AB24)</formula>
    </cfRule>
  </conditionalFormatting>
  <conditionalFormatting sqref="AD8">
    <cfRule type="cellIs" priority="56" dxfId="367" operator="lessThan" stopIfTrue="1">
      <formula>0.99*(AD9+AD11+AD12+AD15+AD16)</formula>
    </cfRule>
  </conditionalFormatting>
  <conditionalFormatting sqref="AD17">
    <cfRule type="cellIs" priority="55" dxfId="367" operator="lessThan" stopIfTrue="1">
      <formula>0.99*(AD18+AD19+AD20)</formula>
    </cfRule>
  </conditionalFormatting>
  <conditionalFormatting sqref="AD21">
    <cfRule type="cellIs" priority="54" dxfId="367" operator="lessThan" stopIfTrue="1">
      <formula>0.99*(AD22+AD23+AD24)</formula>
    </cfRule>
  </conditionalFormatting>
  <conditionalFormatting sqref="AF8">
    <cfRule type="cellIs" priority="53" dxfId="367" operator="lessThan" stopIfTrue="1">
      <formula>0.99*(AF9+AF11+AF12+AF15+AF16)</formula>
    </cfRule>
  </conditionalFormatting>
  <conditionalFormatting sqref="AF17">
    <cfRule type="cellIs" priority="52" dxfId="367" operator="lessThan" stopIfTrue="1">
      <formula>0.99*(AF18+AF19+AF20)</formula>
    </cfRule>
  </conditionalFormatting>
  <conditionalFormatting sqref="AF21">
    <cfRule type="cellIs" priority="51" dxfId="367" operator="lessThan" stopIfTrue="1">
      <formula>0.99*(AF22+AF23+AF24)</formula>
    </cfRule>
  </conditionalFormatting>
  <conditionalFormatting sqref="AH8">
    <cfRule type="cellIs" priority="50" dxfId="367" operator="lessThan" stopIfTrue="1">
      <formula>0.99*(AH9+AH11+AH12+AH15+AH16)</formula>
    </cfRule>
  </conditionalFormatting>
  <conditionalFormatting sqref="AH17">
    <cfRule type="cellIs" priority="49" dxfId="367" operator="lessThan" stopIfTrue="1">
      <formula>0.99*(AH18+AH19+AH20)</formula>
    </cfRule>
  </conditionalFormatting>
  <conditionalFormatting sqref="AH21">
    <cfRule type="cellIs" priority="48" dxfId="367" operator="lessThan" stopIfTrue="1">
      <formula>0.99*(AH22+AH23+AH24)</formula>
    </cfRule>
  </conditionalFormatting>
  <conditionalFormatting sqref="AJ8">
    <cfRule type="cellIs" priority="47" dxfId="367" operator="lessThan" stopIfTrue="1">
      <formula>0.99*(AJ9+AJ11+AJ12+AJ15+AJ16)</formula>
    </cfRule>
  </conditionalFormatting>
  <conditionalFormatting sqref="AJ17">
    <cfRule type="cellIs" priority="46" dxfId="367" operator="lessThan" stopIfTrue="1">
      <formula>0.99*(AJ18+AJ19+AJ20)</formula>
    </cfRule>
  </conditionalFormatting>
  <conditionalFormatting sqref="AJ21">
    <cfRule type="cellIs" priority="45" dxfId="367" operator="lessThan" stopIfTrue="1">
      <formula>0.99*(AJ22+AJ23+AJ24)</formula>
    </cfRule>
  </conditionalFormatting>
  <conditionalFormatting sqref="AL8">
    <cfRule type="cellIs" priority="44" dxfId="367" operator="lessThan" stopIfTrue="1">
      <formula>0.99*(AL9+AL11+AL12+AL15+AL16)</formula>
    </cfRule>
  </conditionalFormatting>
  <conditionalFormatting sqref="AL17">
    <cfRule type="cellIs" priority="43" dxfId="367" operator="lessThan" stopIfTrue="1">
      <formula>0.99*(AL18+AL19+AL20)</formula>
    </cfRule>
  </conditionalFormatting>
  <conditionalFormatting sqref="AL21">
    <cfRule type="cellIs" priority="42" dxfId="367" operator="lessThan" stopIfTrue="1">
      <formula>0.99*(AL22+AL23+AL24)</formula>
    </cfRule>
  </conditionalFormatting>
  <conditionalFormatting sqref="AN8">
    <cfRule type="cellIs" priority="41" dxfId="367" operator="lessThan" stopIfTrue="1">
      <formula>0.99*(AN9+AN11+AN12+AN15+AN16)</formula>
    </cfRule>
  </conditionalFormatting>
  <conditionalFormatting sqref="AN17">
    <cfRule type="cellIs" priority="40" dxfId="367" operator="lessThan" stopIfTrue="1">
      <formula>0.99*(AN18+AN19+AN20)</formula>
    </cfRule>
  </conditionalFormatting>
  <conditionalFormatting sqref="AN21">
    <cfRule type="cellIs" priority="39" dxfId="367" operator="lessThan" stopIfTrue="1">
      <formula>0.99*(AN22+AN23+AN24)</formula>
    </cfRule>
  </conditionalFormatting>
  <conditionalFormatting sqref="AP8">
    <cfRule type="cellIs" priority="38" dxfId="367" operator="lessThan" stopIfTrue="1">
      <formula>0.99*(AP9+AP11+AP12+AP15+AP16)</formula>
    </cfRule>
  </conditionalFormatting>
  <conditionalFormatting sqref="AP17">
    <cfRule type="cellIs" priority="37" dxfId="367" operator="lessThan" stopIfTrue="1">
      <formula>0.99*(AP18+AP19+AP20)</formula>
    </cfRule>
  </conditionalFormatting>
  <conditionalFormatting sqref="AP21">
    <cfRule type="cellIs" priority="36" dxfId="367" operator="lessThan" stopIfTrue="1">
      <formula>0.99*(AP22+AP23+AP24)</formula>
    </cfRule>
  </conditionalFormatting>
  <conditionalFormatting sqref="AR8">
    <cfRule type="cellIs" priority="35" dxfId="367" operator="lessThan" stopIfTrue="1">
      <formula>0.99*(AR9+AR11+AR12+AR15+AR16)</formula>
    </cfRule>
  </conditionalFormatting>
  <conditionalFormatting sqref="AR17">
    <cfRule type="cellIs" priority="34" dxfId="367" operator="lessThan" stopIfTrue="1">
      <formula>0.99*(AR18+AR19+AR20)</formula>
    </cfRule>
  </conditionalFormatting>
  <conditionalFormatting sqref="AR21">
    <cfRule type="cellIs" priority="33" dxfId="367" operator="lessThan" stopIfTrue="1">
      <formula>0.99*(AR22+AR23+AR24)</formula>
    </cfRule>
  </conditionalFormatting>
  <conditionalFormatting sqref="AT8">
    <cfRule type="cellIs" priority="32" dxfId="367" operator="lessThan" stopIfTrue="1">
      <formula>0.99*(AT9+AT11+AT12+AT15+AT16)</formula>
    </cfRule>
  </conditionalFormatting>
  <conditionalFormatting sqref="AT17">
    <cfRule type="cellIs" priority="31" dxfId="367" operator="lessThan" stopIfTrue="1">
      <formula>0.99*(AT18+AT19+AT20)</formula>
    </cfRule>
  </conditionalFormatting>
  <conditionalFormatting sqref="AT21">
    <cfRule type="cellIs" priority="30" dxfId="367" operator="lessThan" stopIfTrue="1">
      <formula>0.99*(AT22+AT23+AT24)</formula>
    </cfRule>
  </conditionalFormatting>
  <conditionalFormatting sqref="AZ8">
    <cfRule type="cellIs" priority="29" dxfId="367" operator="lessThan" stopIfTrue="1">
      <formula>0.99*(AZ9+AZ11+AZ12+AZ15+AZ16)</formula>
    </cfRule>
  </conditionalFormatting>
  <conditionalFormatting sqref="AZ17">
    <cfRule type="cellIs" priority="28" dxfId="367" operator="lessThan" stopIfTrue="1">
      <formula>0.99*(AZ18+AZ19+AZ20)</formula>
    </cfRule>
  </conditionalFormatting>
  <conditionalFormatting sqref="AZ21">
    <cfRule type="cellIs" priority="27" dxfId="367" operator="lessThan" stopIfTrue="1">
      <formula>0.99*(AZ22+AZ23+AZ24)</formula>
    </cfRule>
  </conditionalFormatting>
  <conditionalFormatting sqref="AV8">
    <cfRule type="cellIs" priority="14" dxfId="367" operator="lessThan" stopIfTrue="1">
      <formula>0.99*(AV9+AV11+AV12+AV15+AV16)</formula>
    </cfRule>
  </conditionalFormatting>
  <conditionalFormatting sqref="AV17">
    <cfRule type="cellIs" priority="13" dxfId="367" operator="lessThan" stopIfTrue="1">
      <formula>0.99*(AV18+AV19+AV20)</formula>
    </cfRule>
  </conditionalFormatting>
  <conditionalFormatting sqref="AV21">
    <cfRule type="cellIs" priority="12" dxfId="367" operator="lessThan" stopIfTrue="1">
      <formula>0.99*(AV22+AV23+AV24)</formula>
    </cfRule>
  </conditionalFormatting>
  <conditionalFormatting sqref="AX8">
    <cfRule type="cellIs" priority="11" dxfId="367" operator="lessThan" stopIfTrue="1">
      <formula>0.99*(AX9+AX11+AX12+AX15+AX16)</formula>
    </cfRule>
  </conditionalFormatting>
  <conditionalFormatting sqref="AX17">
    <cfRule type="cellIs" priority="10" dxfId="367" operator="lessThan" stopIfTrue="1">
      <formula>0.99*(AX18+AX19+AX20)</formula>
    </cfRule>
  </conditionalFormatting>
  <conditionalFormatting sqref="AX21">
    <cfRule type="cellIs" priority="9" dxfId="367" operator="lessThan" stopIfTrue="1">
      <formula>0.99*(AX22+AX23+AX24)</formula>
    </cfRule>
  </conditionalFormatting>
  <conditionalFormatting sqref="BG42:DA42 BG36:DA36 BG47:DA47">
    <cfRule type="cellIs" priority="5" dxfId="366" operator="equal" stopIfTrue="1">
      <formula>"&lt;&gt;"</formula>
    </cfRule>
  </conditionalFormatting>
  <conditionalFormatting sqref="BI8:BI27">
    <cfRule type="cellIs" priority="3" dxfId="366"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366" operator="equal" stopIfTrue="1">
      <formula>"&gt; 25%"</formula>
    </cfRule>
  </conditionalFormatting>
  <conditionalFormatting sqref="BG33:DA33">
    <cfRule type="cellIs" priority="2" dxfId="366" operator="equal" stopIfTrue="1">
      <formula>"&lt;&gt;"</formula>
    </cfRule>
  </conditionalFormatting>
  <conditionalFormatting sqref="CW8:CW27 CY8:CY27">
    <cfRule type="cellIs" priority="1" dxfId="366" operator="equal" stopIfTrue="1">
      <formula>"&gt; 25%"</formula>
    </cfRule>
  </conditionalFormatting>
  <printOptions horizontalCentered="1"/>
  <pageMargins left="0.56" right="0.4" top="0.31" bottom="0.46" header="0.18" footer="0.25"/>
  <pageSetup fitToHeight="0" fitToWidth="1" horizontalDpi="600" verticalDpi="600" orientation="landscape" paperSize="9" scale="54" r:id="rId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L73"/>
  <sheetViews>
    <sheetView showGridLines="0" zoomScale="85" zoomScaleNormal="85" zoomScaleSheetLayoutView="55" zoomScalePageLayoutView="70" workbookViewId="0" topLeftCell="C1">
      <selection activeCell="F8" sqref="F8"/>
    </sheetView>
  </sheetViews>
  <sheetFormatPr defaultColWidth="12" defaultRowHeight="12.75"/>
  <cols>
    <col min="1" max="1" width="2.33203125" style="179" hidden="1" customWidth="1"/>
    <col min="2" max="2" width="4.33203125" style="180" hidden="1" customWidth="1"/>
    <col min="3" max="3" width="7" style="193" customWidth="1"/>
    <col min="4" max="4" width="32" style="193" customWidth="1"/>
    <col min="5" max="5" width="8.66015625" style="193" customWidth="1"/>
    <col min="6" max="6" width="7.83203125" style="193" customWidth="1"/>
    <col min="7" max="7" width="1.83203125" style="193" customWidth="1"/>
    <col min="8" max="8" width="7" style="279" customWidth="1"/>
    <col min="9" max="9" width="1.83203125" style="280" customWidth="1"/>
    <col min="10" max="10" width="7" style="280" customWidth="1"/>
    <col min="11" max="11" width="1.83203125" style="280" customWidth="1"/>
    <col min="12" max="12" width="7" style="280" customWidth="1"/>
    <col min="13" max="13" width="1.83203125" style="280" customWidth="1"/>
    <col min="14" max="14" width="7" style="280" customWidth="1"/>
    <col min="15" max="15" width="1.83203125" style="280" customWidth="1"/>
    <col min="16" max="16" width="7" style="281" customWidth="1"/>
    <col min="17" max="17" width="1.83203125" style="280" customWidth="1"/>
    <col min="18" max="18" width="7" style="281" customWidth="1"/>
    <col min="19" max="19" width="1.83203125" style="280" customWidth="1"/>
    <col min="20" max="20" width="7" style="281" customWidth="1"/>
    <col min="21" max="21" width="1.83203125" style="280" customWidth="1"/>
    <col min="22" max="22" width="7" style="281" customWidth="1"/>
    <col min="23" max="23" width="1.83203125" style="280" customWidth="1"/>
    <col min="24" max="24" width="7" style="279" customWidth="1"/>
    <col min="25" max="25" width="1.83203125" style="280" customWidth="1"/>
    <col min="26" max="26" width="7" style="279" customWidth="1"/>
    <col min="27" max="27" width="1.83203125" style="280" customWidth="1"/>
    <col min="28" max="28" width="7" style="279" customWidth="1"/>
    <col min="29" max="29" width="1.83203125" style="280" customWidth="1"/>
    <col min="30" max="30" width="7" style="279" customWidth="1"/>
    <col min="31" max="31" width="1.83203125" style="280" customWidth="1"/>
    <col min="32" max="32" width="7" style="279" customWidth="1"/>
    <col min="33" max="33" width="1.83203125" style="280" customWidth="1"/>
    <col min="34" max="34" width="7" style="279" customWidth="1"/>
    <col min="35" max="35" width="1.83203125" style="280" customWidth="1"/>
    <col min="36" max="36" width="7" style="281" customWidth="1"/>
    <col min="37" max="37" width="1.83203125" style="280" customWidth="1"/>
    <col min="38" max="38" width="7" style="279" customWidth="1"/>
    <col min="39" max="39" width="1.83203125" style="280" customWidth="1"/>
    <col min="40" max="40" width="7" style="279"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7" style="279" customWidth="1"/>
    <col min="47" max="47" width="1.83203125" style="280" customWidth="1"/>
    <col min="48" max="48" width="7" style="206" customWidth="1"/>
    <col min="49" max="49" width="1.83203125" style="206" customWidth="1"/>
    <col min="50" max="50" width="7" style="279" customWidth="1"/>
    <col min="51" max="51" width="1.83203125" style="280" customWidth="1"/>
    <col min="52" max="52" width="7" style="279" customWidth="1"/>
    <col min="53" max="53" width="1.83203125" style="280" customWidth="1"/>
    <col min="54" max="54" width="1.83203125" style="193" customWidth="1"/>
    <col min="55" max="55" width="4.5" style="193" customWidth="1"/>
    <col min="56" max="56" width="6.66015625" style="191" customWidth="1"/>
    <col min="57" max="57" width="26.83203125" style="191" customWidth="1"/>
    <col min="58" max="58" width="7.16015625" style="191" customWidth="1"/>
    <col min="59" max="59" width="6.83203125" style="191" customWidth="1"/>
    <col min="60" max="60" width="1.83203125" style="191" customWidth="1"/>
    <col min="61" max="61" width="6.83203125" style="191" customWidth="1"/>
    <col min="62" max="62" width="1.83203125" style="191" customWidth="1"/>
    <col min="63" max="63" width="6.83203125" style="191" customWidth="1"/>
    <col min="64" max="64" width="1.83203125" style="191" customWidth="1"/>
    <col min="65" max="65" width="6.83203125" style="191" customWidth="1"/>
    <col min="66" max="66" width="1.83203125" style="191" customWidth="1"/>
    <col min="67" max="67" width="6.83203125" style="191" customWidth="1"/>
    <col min="68" max="68" width="1.83203125" style="191" customWidth="1"/>
    <col min="69" max="69" width="6.83203125" style="191" customWidth="1"/>
    <col min="70" max="70" width="1.83203125" style="191" customWidth="1"/>
    <col min="71" max="71" width="6.83203125" style="191" customWidth="1"/>
    <col min="72" max="72" width="1.83203125" style="191" customWidth="1"/>
    <col min="73" max="73" width="6.83203125" style="191" customWidth="1"/>
    <col min="74" max="74" width="1.83203125" style="191" customWidth="1"/>
    <col min="75" max="75" width="6.83203125" style="191" customWidth="1"/>
    <col min="76" max="76" width="1.83203125" style="191" customWidth="1"/>
    <col min="77" max="77" width="6.83203125" style="191" customWidth="1"/>
    <col min="78" max="78" width="1.83203125" style="191" customWidth="1"/>
    <col min="79" max="79" width="6.83203125" style="191" customWidth="1"/>
    <col min="80" max="80" width="1.83203125" style="191" customWidth="1"/>
    <col min="81" max="81" width="6.83203125" style="191" customWidth="1"/>
    <col min="82" max="82" width="1.83203125" style="191" customWidth="1"/>
    <col min="83" max="83" width="6.83203125" style="191" customWidth="1"/>
    <col min="84" max="84" width="1.83203125" style="191" customWidth="1"/>
    <col min="85" max="85" width="6.83203125" style="191" customWidth="1"/>
    <col min="86" max="86" width="1.83203125" style="191" customWidth="1"/>
    <col min="87" max="87" width="6.83203125" style="191" customWidth="1"/>
    <col min="88" max="88" width="1.83203125" style="191" customWidth="1"/>
    <col min="89" max="89" width="6.83203125" style="191" customWidth="1"/>
    <col min="90" max="90" width="1.83203125" style="191" customWidth="1"/>
    <col min="91" max="91" width="6.83203125" style="191" customWidth="1"/>
    <col min="92" max="92" width="1.83203125" style="191" customWidth="1"/>
    <col min="93" max="93" width="6.83203125" style="191" customWidth="1"/>
    <col min="94" max="94" width="1.83203125" style="191" customWidth="1"/>
    <col min="95" max="95" width="6.83203125" style="191" customWidth="1"/>
    <col min="96" max="96" width="1.83203125" style="191" customWidth="1"/>
    <col min="97" max="97" width="6.83203125" style="191" customWidth="1"/>
    <col min="98" max="98" width="1.83203125" style="191" customWidth="1"/>
    <col min="99" max="99" width="6.83203125" style="191" customWidth="1"/>
    <col min="100" max="100" width="1.83203125" style="191" customWidth="1"/>
    <col min="101" max="101" width="6.83203125" style="191" customWidth="1"/>
    <col min="102" max="102" width="1.83203125" style="191" customWidth="1"/>
    <col min="103" max="103" width="7.5" style="642" customWidth="1"/>
    <col min="104" max="104" width="1.171875" style="642" customWidth="1"/>
    <col min="105" max="105" width="7.5" style="642" customWidth="1"/>
    <col min="106" max="106" width="1.171875" style="642" customWidth="1"/>
    <col min="107" max="16384" width="12" style="193" customWidth="1"/>
  </cols>
  <sheetData>
    <row r="1" spans="1:106" s="447" customFormat="1" ht="15" customHeight="1">
      <c r="A1" s="446"/>
      <c r="B1" s="180">
        <v>0</v>
      </c>
      <c r="C1" s="181" t="s">
        <v>165</v>
      </c>
      <c r="D1" s="181"/>
      <c r="E1" s="338"/>
      <c r="F1" s="338"/>
      <c r="G1" s="338"/>
      <c r="H1" s="339"/>
      <c r="I1" s="340"/>
      <c r="J1" s="340"/>
      <c r="K1" s="340"/>
      <c r="L1" s="340"/>
      <c r="M1" s="340"/>
      <c r="N1" s="340"/>
      <c r="O1" s="340"/>
      <c r="P1" s="341"/>
      <c r="Q1" s="340"/>
      <c r="R1" s="341"/>
      <c r="S1" s="340"/>
      <c r="T1" s="341"/>
      <c r="U1" s="340"/>
      <c r="V1" s="341"/>
      <c r="W1" s="340"/>
      <c r="X1" s="339"/>
      <c r="Y1" s="340"/>
      <c r="Z1" s="339"/>
      <c r="AA1" s="340"/>
      <c r="AB1" s="339"/>
      <c r="AC1" s="340"/>
      <c r="AD1" s="339"/>
      <c r="AE1" s="340"/>
      <c r="AF1" s="339"/>
      <c r="AG1" s="340"/>
      <c r="AH1" s="339"/>
      <c r="AI1" s="340"/>
      <c r="AJ1" s="341"/>
      <c r="AK1" s="340"/>
      <c r="AL1" s="339"/>
      <c r="AM1" s="340"/>
      <c r="AN1" s="339"/>
      <c r="AO1" s="549"/>
      <c r="AP1" s="549"/>
      <c r="AQ1" s="549"/>
      <c r="AR1" s="549"/>
      <c r="AS1" s="549"/>
      <c r="AT1" s="339"/>
      <c r="AU1" s="340"/>
      <c r="AV1" s="549"/>
      <c r="AW1" s="549"/>
      <c r="AX1" s="339"/>
      <c r="AY1" s="340"/>
      <c r="AZ1" s="339"/>
      <c r="BA1" s="340"/>
      <c r="BB1" s="497"/>
      <c r="BC1" s="577"/>
      <c r="BD1" s="192" t="s">
        <v>447</v>
      </c>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213"/>
      <c r="CY1" s="641"/>
      <c r="CZ1" s="641"/>
      <c r="DA1" s="641"/>
      <c r="DB1" s="641"/>
    </row>
    <row r="2" spans="5:52" ht="7.5" customHeight="1">
      <c r="E2" s="343"/>
      <c r="F2" s="343"/>
      <c r="G2" s="343"/>
      <c r="H2" s="347"/>
      <c r="AE2" s="352"/>
      <c r="AF2" s="347"/>
      <c r="AG2" s="352"/>
      <c r="AH2" s="347"/>
      <c r="AI2" s="352"/>
      <c r="AJ2" s="430"/>
      <c r="AK2" s="352"/>
      <c r="AL2" s="347"/>
      <c r="AM2" s="352"/>
      <c r="AN2" s="347"/>
      <c r="AT2" s="347"/>
      <c r="AX2" s="347"/>
      <c r="AZ2" s="347"/>
    </row>
    <row r="3" spans="1:106" s="364" customFormat="1" ht="17.25" customHeight="1">
      <c r="A3" s="291"/>
      <c r="B3" s="291">
        <v>180</v>
      </c>
      <c r="C3" s="348" t="s">
        <v>324</v>
      </c>
      <c r="D3" s="703" t="s">
        <v>144</v>
      </c>
      <c r="E3" s="433"/>
      <c r="F3" s="434"/>
      <c r="G3" s="435"/>
      <c r="H3" s="436"/>
      <c r="I3" s="437"/>
      <c r="J3" s="437"/>
      <c r="K3" s="437"/>
      <c r="L3" s="437"/>
      <c r="M3" s="437"/>
      <c r="N3" s="437"/>
      <c r="O3" s="437"/>
      <c r="P3" s="436"/>
      <c r="Q3" s="437"/>
      <c r="R3" s="436"/>
      <c r="S3" s="437"/>
      <c r="T3" s="436"/>
      <c r="U3" s="437"/>
      <c r="V3" s="436"/>
      <c r="W3" s="435"/>
      <c r="X3" s="436"/>
      <c r="Y3" s="435"/>
      <c r="Z3" s="111"/>
      <c r="AA3" s="438"/>
      <c r="AB3" s="57"/>
      <c r="AC3" s="348" t="s">
        <v>300</v>
      </c>
      <c r="AD3" s="350"/>
      <c r="AE3" s="349"/>
      <c r="AF3" s="350"/>
      <c r="AG3" s="351"/>
      <c r="AH3" s="350"/>
      <c r="AI3" s="435"/>
      <c r="AJ3" s="436"/>
      <c r="AK3" s="435"/>
      <c r="AL3" s="436"/>
      <c r="AM3" s="435"/>
      <c r="AN3" s="436"/>
      <c r="AO3" s="439"/>
      <c r="AP3" s="439"/>
      <c r="AQ3" s="439"/>
      <c r="AR3" s="439"/>
      <c r="AS3" s="439"/>
      <c r="AT3" s="440"/>
      <c r="AU3" s="440"/>
      <c r="AV3" s="439"/>
      <c r="AW3" s="439"/>
      <c r="AX3" s="440"/>
      <c r="AY3" s="440"/>
      <c r="AZ3" s="440"/>
      <c r="BA3" s="440"/>
      <c r="BB3" s="440"/>
      <c r="BC3" s="440"/>
      <c r="BD3" s="355" t="s">
        <v>423</v>
      </c>
      <c r="BE3" s="449"/>
      <c r="BF3" s="362"/>
      <c r="BG3" s="450"/>
      <c r="BH3" s="450"/>
      <c r="BI3" s="498"/>
      <c r="BJ3" s="498"/>
      <c r="BK3" s="498"/>
      <c r="BL3" s="498"/>
      <c r="BM3" s="451"/>
      <c r="BN3" s="451"/>
      <c r="BO3" s="451"/>
      <c r="BP3" s="451"/>
      <c r="BQ3" s="498"/>
      <c r="BR3" s="498"/>
      <c r="BS3" s="451"/>
      <c r="BT3" s="451"/>
      <c r="BU3" s="451"/>
      <c r="BV3" s="451"/>
      <c r="BW3" s="451"/>
      <c r="BX3" s="451"/>
      <c r="BY3" s="452"/>
      <c r="BZ3" s="452"/>
      <c r="CA3" s="362"/>
      <c r="CB3" s="362"/>
      <c r="CC3" s="362"/>
      <c r="CD3" s="362"/>
      <c r="CE3" s="362"/>
      <c r="CF3" s="362"/>
      <c r="CG3" s="452"/>
      <c r="CH3" s="452"/>
      <c r="CI3" s="362"/>
      <c r="CJ3" s="362"/>
      <c r="CK3" s="362"/>
      <c r="CL3" s="362"/>
      <c r="CM3" s="362"/>
      <c r="CN3" s="362"/>
      <c r="CO3" s="362"/>
      <c r="CP3" s="362"/>
      <c r="CQ3" s="362"/>
      <c r="CR3" s="362"/>
      <c r="CS3" s="362"/>
      <c r="CT3" s="362"/>
      <c r="CU3" s="362"/>
      <c r="CV3" s="362"/>
      <c r="CW3" s="362"/>
      <c r="CX3" s="362"/>
      <c r="CY3" s="643"/>
      <c r="CZ3" s="643"/>
      <c r="DA3" s="644"/>
      <c r="DB3" s="644"/>
    </row>
    <row r="4" spans="3:56" ht="3.75" customHeight="1">
      <c r="C4" s="499"/>
      <c r="D4" s="499"/>
      <c r="E4" s="405"/>
      <c r="F4" s="405"/>
      <c r="G4" s="405"/>
      <c r="H4" s="347"/>
      <c r="I4" s="352"/>
      <c r="J4" s="352"/>
      <c r="K4" s="352"/>
      <c r="L4" s="352"/>
      <c r="M4" s="352"/>
      <c r="N4" s="352"/>
      <c r="O4" s="352"/>
      <c r="P4" s="430"/>
      <c r="Q4" s="352"/>
      <c r="R4" s="430"/>
      <c r="S4" s="352"/>
      <c r="T4" s="430"/>
      <c r="U4" s="352"/>
      <c r="V4" s="430"/>
      <c r="W4" s="352"/>
      <c r="X4" s="347"/>
      <c r="Y4" s="352"/>
      <c r="Z4" s="347"/>
      <c r="AA4" s="352"/>
      <c r="AB4" s="347"/>
      <c r="AC4" s="352"/>
      <c r="AD4" s="347"/>
      <c r="AE4" s="352"/>
      <c r="AF4" s="347"/>
      <c r="AG4" s="352"/>
      <c r="AH4" s="347"/>
      <c r="AI4" s="352"/>
      <c r="AJ4" s="430"/>
      <c r="AK4" s="352"/>
      <c r="AL4" s="347"/>
      <c r="AM4" s="352"/>
      <c r="AN4" s="500"/>
      <c r="AT4" s="347"/>
      <c r="AX4" s="347"/>
      <c r="AZ4" s="347"/>
      <c r="BD4" s="330"/>
    </row>
    <row r="5" spans="1:106" s="447" customFormat="1" ht="17.25" customHeight="1">
      <c r="A5" s="446"/>
      <c r="B5" s="180">
        <v>9</v>
      </c>
      <c r="C5" s="783" t="s">
        <v>503</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414"/>
      <c r="AP5" s="414"/>
      <c r="AQ5" s="414"/>
      <c r="AR5" s="414"/>
      <c r="AS5" s="414"/>
      <c r="AT5" s="367"/>
      <c r="AU5" s="366"/>
      <c r="AV5" s="414"/>
      <c r="AW5" s="414"/>
      <c r="AX5" s="367"/>
      <c r="AY5" s="366"/>
      <c r="AZ5" s="367"/>
      <c r="BA5" s="366"/>
      <c r="BB5" s="453"/>
      <c r="BC5" s="366"/>
      <c r="BD5" s="369" t="s">
        <v>424</v>
      </c>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213"/>
      <c r="CY5" s="641"/>
      <c r="CZ5" s="641"/>
      <c r="DA5" s="641"/>
      <c r="DB5" s="641"/>
    </row>
    <row r="6" spans="1:106" s="455" customFormat="1" ht="14.25" customHeight="1">
      <c r="A6" s="454"/>
      <c r="B6" s="180"/>
      <c r="C6" s="447"/>
      <c r="D6" s="674"/>
      <c r="E6" s="675"/>
      <c r="F6" s="678" t="s">
        <v>489</v>
      </c>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550"/>
      <c r="AJ6" s="551"/>
      <c r="AK6" s="372"/>
      <c r="AL6" s="551"/>
      <c r="AM6" s="279"/>
      <c r="AN6" s="551"/>
      <c r="AO6" s="552"/>
      <c r="AP6" s="552"/>
      <c r="AQ6" s="552"/>
      <c r="AR6" s="552"/>
      <c r="AS6" s="552"/>
      <c r="AT6" s="553"/>
      <c r="AV6" s="552"/>
      <c r="AW6" s="552"/>
      <c r="AX6" s="553"/>
      <c r="AZ6" s="374"/>
      <c r="BA6" s="375"/>
      <c r="BB6" s="218"/>
      <c r="BD6" s="376" t="s">
        <v>567</v>
      </c>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213"/>
      <c r="CY6" s="645"/>
      <c r="CZ6" s="645"/>
      <c r="DA6" s="645"/>
      <c r="DB6" s="645"/>
    </row>
    <row r="7" spans="2:106" ht="22.5" customHeight="1">
      <c r="B7" s="180">
        <v>2</v>
      </c>
      <c r="C7" s="226" t="s">
        <v>301</v>
      </c>
      <c r="D7" s="226" t="s">
        <v>302</v>
      </c>
      <c r="E7" s="226" t="s">
        <v>303</v>
      </c>
      <c r="F7" s="226">
        <v>1990</v>
      </c>
      <c r="G7" s="227"/>
      <c r="H7" s="226">
        <v>1995</v>
      </c>
      <c r="I7" s="227"/>
      <c r="J7" s="226">
        <v>1996</v>
      </c>
      <c r="K7" s="227"/>
      <c r="L7" s="226">
        <v>1997</v>
      </c>
      <c r="M7" s="227"/>
      <c r="N7" s="226">
        <v>1998</v>
      </c>
      <c r="O7" s="227"/>
      <c r="P7" s="226">
        <v>1999</v>
      </c>
      <c r="Q7" s="227"/>
      <c r="R7" s="226">
        <v>2000</v>
      </c>
      <c r="S7" s="227"/>
      <c r="T7" s="226">
        <v>2001</v>
      </c>
      <c r="U7" s="227"/>
      <c r="V7" s="226">
        <v>2002</v>
      </c>
      <c r="W7" s="227"/>
      <c r="X7" s="226">
        <v>2003</v>
      </c>
      <c r="Y7" s="227"/>
      <c r="Z7" s="226">
        <v>2004</v>
      </c>
      <c r="AA7" s="227"/>
      <c r="AB7" s="226">
        <v>2005</v>
      </c>
      <c r="AC7" s="227"/>
      <c r="AD7" s="226">
        <v>2006</v>
      </c>
      <c r="AE7" s="227"/>
      <c r="AF7" s="226">
        <v>2007</v>
      </c>
      <c r="AG7" s="227"/>
      <c r="AH7" s="226">
        <v>2008</v>
      </c>
      <c r="AI7" s="227"/>
      <c r="AJ7" s="226">
        <v>2009</v>
      </c>
      <c r="AK7" s="227"/>
      <c r="AL7" s="226">
        <v>2010</v>
      </c>
      <c r="AM7" s="227"/>
      <c r="AN7" s="226">
        <v>2011</v>
      </c>
      <c r="AO7" s="227"/>
      <c r="AP7" s="226">
        <v>2012</v>
      </c>
      <c r="AQ7" s="227"/>
      <c r="AR7" s="226">
        <v>2013</v>
      </c>
      <c r="AS7" s="227"/>
      <c r="AT7" s="226">
        <v>2014</v>
      </c>
      <c r="AU7" s="227"/>
      <c r="AV7" s="226">
        <v>2015</v>
      </c>
      <c r="AW7" s="227"/>
      <c r="AX7" s="226">
        <v>2016</v>
      </c>
      <c r="AY7" s="227"/>
      <c r="AZ7" s="226">
        <v>2017</v>
      </c>
      <c r="BA7" s="227"/>
      <c r="BD7" s="226" t="s">
        <v>545</v>
      </c>
      <c r="BE7" s="226" t="s">
        <v>546</v>
      </c>
      <c r="BF7" s="226" t="s">
        <v>548</v>
      </c>
      <c r="BG7" s="226">
        <v>1990</v>
      </c>
      <c r="BH7" s="226"/>
      <c r="BI7" s="226">
        <v>1995</v>
      </c>
      <c r="BJ7" s="226"/>
      <c r="BK7" s="226">
        <v>1996</v>
      </c>
      <c r="BL7" s="226"/>
      <c r="BM7" s="226">
        <v>1997</v>
      </c>
      <c r="BN7" s="226"/>
      <c r="BO7" s="226">
        <v>1998</v>
      </c>
      <c r="BP7" s="226"/>
      <c r="BQ7" s="226">
        <v>1999</v>
      </c>
      <c r="BR7" s="226"/>
      <c r="BS7" s="226">
        <v>2000</v>
      </c>
      <c r="BT7" s="226"/>
      <c r="BU7" s="226">
        <v>2001</v>
      </c>
      <c r="BV7" s="226"/>
      <c r="BW7" s="226">
        <v>2002</v>
      </c>
      <c r="BX7" s="226"/>
      <c r="BY7" s="226">
        <v>2003</v>
      </c>
      <c r="BZ7" s="226"/>
      <c r="CA7" s="226">
        <v>2004</v>
      </c>
      <c r="CB7" s="226"/>
      <c r="CC7" s="226">
        <v>2005</v>
      </c>
      <c r="CD7" s="226"/>
      <c r="CE7" s="226">
        <v>2006</v>
      </c>
      <c r="CF7" s="226"/>
      <c r="CG7" s="226">
        <v>2007</v>
      </c>
      <c r="CH7" s="226"/>
      <c r="CI7" s="226">
        <v>2008</v>
      </c>
      <c r="CJ7" s="226"/>
      <c r="CK7" s="226">
        <v>2009</v>
      </c>
      <c r="CL7" s="226"/>
      <c r="CM7" s="226">
        <v>2010</v>
      </c>
      <c r="CN7" s="226"/>
      <c r="CO7" s="226">
        <v>2011</v>
      </c>
      <c r="CP7" s="226"/>
      <c r="CQ7" s="226">
        <v>2012</v>
      </c>
      <c r="CR7" s="226"/>
      <c r="CS7" s="226">
        <v>2013</v>
      </c>
      <c r="CT7" s="226"/>
      <c r="CU7" s="226">
        <v>2014</v>
      </c>
      <c r="CV7" s="226"/>
      <c r="CW7" s="226">
        <v>2015</v>
      </c>
      <c r="CX7" s="227"/>
      <c r="CY7" s="646">
        <v>2016</v>
      </c>
      <c r="CZ7" s="646"/>
      <c r="DA7" s="646">
        <v>2017</v>
      </c>
      <c r="DB7" s="647"/>
    </row>
    <row r="8" spans="1:106" s="469" customFormat="1" ht="36" customHeight="1">
      <c r="A8" s="395" t="s">
        <v>439</v>
      </c>
      <c r="B8" s="235">
        <v>163</v>
      </c>
      <c r="C8" s="460">
        <v>1</v>
      </c>
      <c r="D8" s="554" t="s">
        <v>291</v>
      </c>
      <c r="E8" s="238" t="s">
        <v>541</v>
      </c>
      <c r="F8" s="600"/>
      <c r="G8" s="596"/>
      <c r="H8" s="600"/>
      <c r="I8" s="596"/>
      <c r="J8" s="600"/>
      <c r="K8" s="596"/>
      <c r="L8" s="600"/>
      <c r="M8" s="596"/>
      <c r="N8" s="600"/>
      <c r="O8" s="596"/>
      <c r="P8" s="600"/>
      <c r="Q8" s="596"/>
      <c r="R8" s="600"/>
      <c r="S8" s="596"/>
      <c r="T8" s="600"/>
      <c r="U8" s="596"/>
      <c r="V8" s="600"/>
      <c r="W8" s="596"/>
      <c r="X8" s="600"/>
      <c r="Y8" s="596"/>
      <c r="Z8" s="600"/>
      <c r="AA8" s="596"/>
      <c r="AB8" s="600"/>
      <c r="AC8" s="596"/>
      <c r="AD8" s="600"/>
      <c r="AE8" s="596"/>
      <c r="AF8" s="600"/>
      <c r="AG8" s="596"/>
      <c r="AH8" s="600"/>
      <c r="AI8" s="596"/>
      <c r="AJ8" s="600"/>
      <c r="AK8" s="596"/>
      <c r="AL8" s="600"/>
      <c r="AM8" s="596"/>
      <c r="AN8" s="600"/>
      <c r="AO8" s="596"/>
      <c r="AP8" s="600"/>
      <c r="AQ8" s="596"/>
      <c r="AR8" s="600"/>
      <c r="AS8" s="596"/>
      <c r="AT8" s="600"/>
      <c r="AU8" s="596"/>
      <c r="AV8" s="600"/>
      <c r="AW8" s="596"/>
      <c r="AX8" s="600"/>
      <c r="AY8" s="596"/>
      <c r="AZ8" s="600"/>
      <c r="BA8" s="596"/>
      <c r="BD8" s="408">
        <v>1</v>
      </c>
      <c r="BE8" s="555" t="s">
        <v>393</v>
      </c>
      <c r="BF8" s="100" t="s">
        <v>541</v>
      </c>
      <c r="BG8" s="100" t="s">
        <v>448</v>
      </c>
      <c r="BH8" s="244"/>
      <c r="BI8" s="82" t="str">
        <f>IF(OR(ISBLANK(F8),ISBLANK(H8)),"N/A",IF(ABS(H8-F8)&gt;100,"&gt; 100%","ok"))</f>
        <v>N/A</v>
      </c>
      <c r="BJ8" s="244"/>
      <c r="BK8" s="82" t="str">
        <f>IF(OR(ISBLANK(H8),ISBLANK(J8)),"N/A",IF(ABS(J8-H8)&gt;25,"&gt; 25%","ok"))</f>
        <v>N/A</v>
      </c>
      <c r="BL8" s="82"/>
      <c r="BM8" s="82" t="str">
        <f>IF(OR(ISBLANK(J8),ISBLANK(L8)),"N/A",IF(ABS(L8-J8)&gt;25,"&gt; 25%","ok"))</f>
        <v>N/A</v>
      </c>
      <c r="BN8" s="82"/>
      <c r="BO8" s="82" t="str">
        <f>IF(OR(ISBLANK(L8),ISBLANK(N8)),"N/A",IF(ABS(N8-L8)&gt;25,"&gt; 25%","ok"))</f>
        <v>N/A</v>
      </c>
      <c r="BP8" s="82"/>
      <c r="BQ8" s="82" t="str">
        <f>IF(OR(ISBLANK(N8),ISBLANK(P8)),"N/A",IF(ABS(P8-N8)&gt;25,"&gt; 25%","ok"))</f>
        <v>N/A</v>
      </c>
      <c r="BR8" s="82"/>
      <c r="BS8" s="82" t="str">
        <f>IF(OR(ISBLANK(P8),ISBLANK(R8)),"N/A",IF(ABS(R8-P8)&gt;25,"&gt; 25%","ok"))</f>
        <v>N/A</v>
      </c>
      <c r="BT8" s="82"/>
      <c r="BU8" s="82" t="str">
        <f>IF(OR(ISBLANK(R8),ISBLANK(T8)),"N/A",IF(ABS(T8-R8)&gt;25,"&gt; 25%","ok"))</f>
        <v>N/A</v>
      </c>
      <c r="BV8" s="82"/>
      <c r="BW8" s="82" t="str">
        <f>IF(OR(ISBLANK(T8),ISBLANK(V8)),"N/A",IF(ABS(V8-T8)&gt;25,"&gt; 25%","ok"))</f>
        <v>N/A</v>
      </c>
      <c r="BX8" s="82"/>
      <c r="BY8" s="82" t="str">
        <f>IF(OR(ISBLANK(V8),ISBLANK(X8)),"N/A",IF(ABS(X8-V8)&gt;25,"&gt; 25%","ok"))</f>
        <v>N/A</v>
      </c>
      <c r="BZ8" s="82"/>
      <c r="CA8" s="82" t="str">
        <f>IF(OR(ISBLANK(X8),ISBLANK(Z8)),"N/A",IF(ABS(Z8-X8)&gt;25,"&gt; 25%","ok"))</f>
        <v>N/A</v>
      </c>
      <c r="CB8" s="82"/>
      <c r="CC8" s="82" t="str">
        <f>IF(OR(ISBLANK(Z8),ISBLANK(AB8)),"N/A",IF(ABS(AB8-Z8)&gt;25,"&gt; 25%","ok"))</f>
        <v>N/A</v>
      </c>
      <c r="CD8" s="82"/>
      <c r="CE8" s="82" t="str">
        <f>IF(OR(ISBLANK(AB8),ISBLANK(AD8)),"N/A",IF(ABS(AD8-AB8)&gt;25,"&gt; 25%","ok"))</f>
        <v>N/A</v>
      </c>
      <c r="CF8" s="82"/>
      <c r="CG8" s="82" t="str">
        <f>IF(OR(ISBLANK(AD8),ISBLANK(AF8)),"N/A",IF(ABS(AF8-AD8)&gt;25,"&gt; 25%","ok"))</f>
        <v>N/A</v>
      </c>
      <c r="CH8" s="82"/>
      <c r="CI8" s="82" t="str">
        <f>IF(OR(ISBLANK(AF8),ISBLANK(AH8)),"N/A",IF(ABS(AH8-AF8)&gt;25,"&gt; 25%","ok"))</f>
        <v>N/A</v>
      </c>
      <c r="CJ8" s="82"/>
      <c r="CK8" s="82" t="str">
        <f>IF(OR(ISBLANK(AH8),ISBLANK(AJ8)),"N/A",IF(ABS(AJ8-AH8)&gt;25,"&gt; 25%","ok"))</f>
        <v>N/A</v>
      </c>
      <c r="CL8" s="82"/>
      <c r="CM8" s="82" t="str">
        <f>IF(OR(ISBLANK(AJ8),ISBLANK(AL8)),"N/A",IF(ABS(AL8-AJ8)&gt;25,"&gt; 25%","ok"))</f>
        <v>N/A</v>
      </c>
      <c r="CN8" s="82"/>
      <c r="CO8" s="82" t="str">
        <f>IF(OR(ISBLANK(AL8),ISBLANK(AN8)),"N/A",IF(ABS(AN8-AL8)&gt;25,"&gt; 25%","ok"))</f>
        <v>N/A</v>
      </c>
      <c r="CP8" s="82"/>
      <c r="CQ8" s="82" t="str">
        <f>IF(OR(ISBLANK(AN8),ISBLANK(AP8)),"N/A",IF(ABS(AP8-AN8)&gt;25,"&gt; 25%","ok"))</f>
        <v>N/A</v>
      </c>
      <c r="CR8" s="82"/>
      <c r="CS8" s="82" t="str">
        <f>IF(OR(ISBLANK(AP8),ISBLANK(AR8)),"N/A",IF(ABS(AR8-AP8)&gt;25,"&gt; 25%","ok"))</f>
        <v>N/A</v>
      </c>
      <c r="CT8" s="82"/>
      <c r="CU8" s="82" t="str">
        <f>IF(OR(ISBLANK(AR8),ISBLANK(AT8)),"N/A",IF(ABS(AT8-AR8)&gt;25,"&gt; 25%","ok"))</f>
        <v>N/A</v>
      </c>
      <c r="CV8" s="82"/>
      <c r="CW8" s="82" t="str">
        <f>IF(OR(ISBLANK(AT8),ISBLANK(AV8)),"N/A",IF(ABS(AV8-AT8)&gt;25,"&gt; 25%","ok"))</f>
        <v>N/A</v>
      </c>
      <c r="CX8" s="82"/>
      <c r="CY8" s="82" t="str">
        <f>IF(OR(ISBLANK(AV8),ISBLANK(AX8)),"N/A",IF(ABS(AX8-AV8)&gt;25,"&gt; 25%","ok"))</f>
        <v>N/A</v>
      </c>
      <c r="CZ8" s="82"/>
      <c r="DA8" s="82" t="str">
        <f>IF(OR(ISBLANK(AX8),ISBLANK(AZ8)),"N/A",IF(ABS(AZ8-AX8)&gt;25,"&gt; 25%","ok"))</f>
        <v>N/A</v>
      </c>
      <c r="DB8" s="82"/>
    </row>
    <row r="9" spans="1:106" ht="36" customHeight="1">
      <c r="A9" s="179" t="s">
        <v>439</v>
      </c>
      <c r="B9" s="235">
        <v>164</v>
      </c>
      <c r="C9" s="396">
        <v>2</v>
      </c>
      <c r="D9" s="556" t="s">
        <v>232</v>
      </c>
      <c r="E9" s="238" t="s">
        <v>541</v>
      </c>
      <c r="F9" s="600"/>
      <c r="G9" s="596"/>
      <c r="H9" s="600"/>
      <c r="I9" s="596"/>
      <c r="J9" s="600"/>
      <c r="K9" s="596"/>
      <c r="L9" s="600"/>
      <c r="M9" s="596"/>
      <c r="N9" s="600"/>
      <c r="O9" s="596"/>
      <c r="P9" s="600"/>
      <c r="Q9" s="596"/>
      <c r="R9" s="600"/>
      <c r="S9" s="596"/>
      <c r="T9" s="600"/>
      <c r="U9" s="596"/>
      <c r="V9" s="600"/>
      <c r="W9" s="596"/>
      <c r="X9" s="600"/>
      <c r="Y9" s="596"/>
      <c r="Z9" s="600"/>
      <c r="AA9" s="596"/>
      <c r="AB9" s="600"/>
      <c r="AC9" s="596"/>
      <c r="AD9" s="600"/>
      <c r="AE9" s="596"/>
      <c r="AF9" s="600"/>
      <c r="AG9" s="596"/>
      <c r="AH9" s="600"/>
      <c r="AI9" s="596"/>
      <c r="AJ9" s="600"/>
      <c r="AK9" s="596"/>
      <c r="AL9" s="600"/>
      <c r="AM9" s="596"/>
      <c r="AN9" s="600"/>
      <c r="AO9" s="596"/>
      <c r="AP9" s="600"/>
      <c r="AQ9" s="596"/>
      <c r="AR9" s="600"/>
      <c r="AS9" s="596"/>
      <c r="AT9" s="600"/>
      <c r="AU9" s="596"/>
      <c r="AV9" s="600"/>
      <c r="AW9" s="596"/>
      <c r="AX9" s="600"/>
      <c r="AY9" s="596"/>
      <c r="AZ9" s="600"/>
      <c r="BA9" s="596"/>
      <c r="BD9" s="386">
        <v>2</v>
      </c>
      <c r="BE9" s="557" t="s">
        <v>394</v>
      </c>
      <c r="BF9" s="100" t="s">
        <v>541</v>
      </c>
      <c r="BG9" s="100" t="s">
        <v>448</v>
      </c>
      <c r="BH9" s="244"/>
      <c r="BI9" s="82" t="str">
        <f>IF(OR(ISBLANK(F9),ISBLANK(H9)),"N/A",IF(ABS(H9-F9)&gt;100,"&gt; 100%","ok"))</f>
        <v>N/A</v>
      </c>
      <c r="BJ9" s="244"/>
      <c r="BK9" s="82" t="str">
        <f>IF(OR(ISBLANK(H9),ISBLANK(J9)),"N/A",IF(ABS(J9-H9)&gt;25,"&gt; 25%","ok"))</f>
        <v>N/A</v>
      </c>
      <c r="BL9" s="82"/>
      <c r="BM9" s="82" t="str">
        <f>IF(OR(ISBLANK(J9),ISBLANK(L9)),"N/A",IF(ABS(L9-J9)&gt;25,"&gt; 25%","ok"))</f>
        <v>N/A</v>
      </c>
      <c r="BN9" s="82"/>
      <c r="BO9" s="82" t="str">
        <f>IF(OR(ISBLANK(L9),ISBLANK(N9)),"N/A",IF(ABS(N9-L9)&gt;25,"&gt; 25%","ok"))</f>
        <v>N/A</v>
      </c>
      <c r="BP9" s="82"/>
      <c r="BQ9" s="82" t="str">
        <f>IF(OR(ISBLANK(N9),ISBLANK(P9)),"N/A",IF(ABS(P9-N9)&gt;25,"&gt; 25%","ok"))</f>
        <v>N/A</v>
      </c>
      <c r="BR9" s="82"/>
      <c r="BS9" s="82" t="str">
        <f>IF(OR(ISBLANK(P9),ISBLANK(R9)),"N/A",IF(ABS(R9-P9)&gt;25,"&gt; 25%","ok"))</f>
        <v>N/A</v>
      </c>
      <c r="BT9" s="82"/>
      <c r="BU9" s="82" t="str">
        <f>IF(OR(ISBLANK(R9),ISBLANK(T9)),"N/A",IF(ABS(T9-R9)&gt;25,"&gt; 25%","ok"))</f>
        <v>N/A</v>
      </c>
      <c r="BV9" s="82"/>
      <c r="BW9" s="82" t="str">
        <f>IF(OR(ISBLANK(T9),ISBLANK(V9)),"N/A",IF(ABS(V9-T9)&gt;25,"&gt; 25%","ok"))</f>
        <v>N/A</v>
      </c>
      <c r="BX9" s="82"/>
      <c r="BY9" s="82" t="str">
        <f>IF(OR(ISBLANK(V9),ISBLANK(X9)),"N/A",IF(ABS(X9-V9)&gt;25,"&gt; 25%","ok"))</f>
        <v>N/A</v>
      </c>
      <c r="BZ9" s="82"/>
      <c r="CA9" s="82" t="str">
        <f>IF(OR(ISBLANK(X9),ISBLANK(Z9)),"N/A",IF(ABS(Z9-X9)&gt;25,"&gt; 25%","ok"))</f>
        <v>N/A</v>
      </c>
      <c r="CB9" s="82"/>
      <c r="CC9" s="82" t="str">
        <f>IF(OR(ISBLANK(Z9),ISBLANK(AB9)),"N/A",IF(ABS(AB9-Z9)&gt;25,"&gt; 25%","ok"))</f>
        <v>N/A</v>
      </c>
      <c r="CD9" s="82"/>
      <c r="CE9" s="82" t="str">
        <f>IF(OR(ISBLANK(AB9),ISBLANK(AD9)),"N/A",IF(ABS(AD9-AB9)&gt;25,"&gt; 25%","ok"))</f>
        <v>N/A</v>
      </c>
      <c r="CF9" s="82"/>
      <c r="CG9" s="82" t="str">
        <f>IF(OR(ISBLANK(AD9),ISBLANK(AF9)),"N/A",IF(ABS(AF9-AD9)&gt;25,"&gt; 25%","ok"))</f>
        <v>N/A</v>
      </c>
      <c r="CH9" s="82"/>
      <c r="CI9" s="82" t="str">
        <f>IF(OR(ISBLANK(AF9),ISBLANK(AH9)),"N/A",IF(ABS(AH9-AF9)&gt;25,"&gt; 25%","ok"))</f>
        <v>N/A</v>
      </c>
      <c r="CJ9" s="82"/>
      <c r="CK9" s="82" t="str">
        <f>IF(OR(ISBLANK(AH9),ISBLANK(AJ9)),"N/A",IF(ABS(AJ9-AH9)&gt;25,"&gt; 25%","ok"))</f>
        <v>N/A</v>
      </c>
      <c r="CL9" s="82"/>
      <c r="CM9" s="82" t="str">
        <f>IF(OR(ISBLANK(AJ9),ISBLANK(AL9)),"N/A",IF(ABS(AL9-AJ9)&gt;25,"&gt; 25%","ok"))</f>
        <v>N/A</v>
      </c>
      <c r="CN9" s="82"/>
      <c r="CO9" s="82" t="str">
        <f>IF(OR(ISBLANK(AL9),ISBLANK(AN9)),"N/A",IF(ABS(AN9-AL9)&gt;25,"&gt; 25%","ok"))</f>
        <v>N/A</v>
      </c>
      <c r="CP9" s="82"/>
      <c r="CQ9" s="82" t="str">
        <f>IF(OR(ISBLANK(AN9),ISBLANK(AP9)),"N/A",IF(ABS(AP9-AN9)&gt;25,"&gt; 25%","ok"))</f>
        <v>N/A</v>
      </c>
      <c r="CR9" s="82"/>
      <c r="CS9" s="82" t="str">
        <f>IF(OR(ISBLANK(AP9),ISBLANK(AR9)),"N/A",IF(ABS(AR9-AP9)&gt;25,"&gt; 25%","ok"))</f>
        <v>N/A</v>
      </c>
      <c r="CT9" s="82"/>
      <c r="CU9" s="82" t="str">
        <f>IF(OR(ISBLANK(AR9),ISBLANK(AT9)),"N/A",IF(ABS(AT9-AR9)&gt;25,"&gt; 25%","ok"))</f>
        <v>N/A</v>
      </c>
      <c r="CV9" s="82"/>
      <c r="CW9" s="82" t="str">
        <f>IF(OR(ISBLANK(AT9),ISBLANK(AV9)),"N/A",IF(ABS(AV9-AT9)&gt;25,"&gt; 25%","ok"))</f>
        <v>N/A</v>
      </c>
      <c r="CX9" s="82"/>
      <c r="CY9" s="82" t="str">
        <f>IF(OR(ISBLANK(AV9),ISBLANK(AX9)),"N/A",IF(ABS(AX9-AV9)&gt;25,"&gt; 25%","ok"))</f>
        <v>N/A</v>
      </c>
      <c r="CZ9" s="82"/>
      <c r="DA9" s="82" t="str">
        <f>IF(OR(ISBLANK(AX9),ISBLANK(AZ9)),"N/A",IF(ABS(AZ9-AX9)&gt;25,"&gt; 25%","ok"))</f>
        <v>N/A</v>
      </c>
      <c r="DB9" s="82"/>
    </row>
    <row r="10" spans="2:106" ht="36" customHeight="1">
      <c r="B10" s="235">
        <v>296</v>
      </c>
      <c r="C10" s="238">
        <v>3</v>
      </c>
      <c r="D10" s="558" t="s">
        <v>323</v>
      </c>
      <c r="E10" s="238" t="s">
        <v>541</v>
      </c>
      <c r="F10" s="601"/>
      <c r="G10" s="593"/>
      <c r="H10" s="601"/>
      <c r="I10" s="593"/>
      <c r="J10" s="601"/>
      <c r="K10" s="593"/>
      <c r="L10" s="601"/>
      <c r="M10" s="593"/>
      <c r="N10" s="601"/>
      <c r="O10" s="593"/>
      <c r="P10" s="601"/>
      <c r="Q10" s="593"/>
      <c r="R10" s="601"/>
      <c r="S10" s="593"/>
      <c r="T10" s="601"/>
      <c r="U10" s="593"/>
      <c r="V10" s="601"/>
      <c r="W10" s="593"/>
      <c r="X10" s="601"/>
      <c r="Y10" s="593"/>
      <c r="Z10" s="601"/>
      <c r="AA10" s="593"/>
      <c r="AB10" s="601"/>
      <c r="AC10" s="593"/>
      <c r="AD10" s="601"/>
      <c r="AE10" s="593"/>
      <c r="AF10" s="601"/>
      <c r="AG10" s="593"/>
      <c r="AH10" s="601"/>
      <c r="AI10" s="593"/>
      <c r="AJ10" s="601"/>
      <c r="AK10" s="593"/>
      <c r="AL10" s="601"/>
      <c r="AM10" s="593"/>
      <c r="AN10" s="601"/>
      <c r="AO10" s="593"/>
      <c r="AP10" s="601"/>
      <c r="AQ10" s="593"/>
      <c r="AR10" s="601"/>
      <c r="AS10" s="593"/>
      <c r="AT10" s="601"/>
      <c r="AU10" s="593"/>
      <c r="AV10" s="601"/>
      <c r="AW10" s="593"/>
      <c r="AX10" s="601"/>
      <c r="AY10" s="593"/>
      <c r="AZ10" s="601"/>
      <c r="BA10" s="593"/>
      <c r="BD10" s="100">
        <v>3</v>
      </c>
      <c r="BE10" s="559" t="s">
        <v>571</v>
      </c>
      <c r="BF10" s="100" t="s">
        <v>541</v>
      </c>
      <c r="BG10" s="84" t="s">
        <v>448</v>
      </c>
      <c r="BH10" s="249"/>
      <c r="BI10" s="82" t="str">
        <f>IF(OR(ISBLANK(F10),ISBLANK(H10)),"N/A",IF(ABS(H10-F10)&gt;100,"&gt; 100%","ok"))</f>
        <v>N/A</v>
      </c>
      <c r="BJ10" s="249"/>
      <c r="BK10" s="82" t="str">
        <f>IF(OR(ISBLANK(H10),ISBLANK(J10)),"N/A",IF(ABS(J10-H10)&gt;25,"&gt; 25%","ok"))</f>
        <v>N/A</v>
      </c>
      <c r="BL10" s="82"/>
      <c r="BM10" s="82" t="str">
        <f>IF(OR(ISBLANK(J10),ISBLANK(L10)),"N/A",IF(ABS(L10-J10)&gt;25,"&gt; 25%","ok"))</f>
        <v>N/A</v>
      </c>
      <c r="BN10" s="82"/>
      <c r="BO10" s="82" t="str">
        <f>IF(OR(ISBLANK(L10),ISBLANK(N10)),"N/A",IF(ABS(N10-L10)&gt;25,"&gt; 25%","ok"))</f>
        <v>N/A</v>
      </c>
      <c r="BP10" s="82"/>
      <c r="BQ10" s="82" t="str">
        <f>IF(OR(ISBLANK(N10),ISBLANK(P10)),"N/A",IF(ABS(P10-N10)&gt;25,"&gt; 25%","ok"))</f>
        <v>N/A</v>
      </c>
      <c r="BR10" s="82"/>
      <c r="BS10" s="82" t="str">
        <f>IF(OR(ISBLANK(P10),ISBLANK(R10)),"N/A",IF(ABS(R10-P10)&gt;25,"&gt; 25%","ok"))</f>
        <v>N/A</v>
      </c>
      <c r="BT10" s="82"/>
      <c r="BU10" s="82" t="str">
        <f>IF(OR(ISBLANK(R10),ISBLANK(T10)),"N/A",IF(ABS(T10-R10)&gt;25,"&gt; 25%","ok"))</f>
        <v>N/A</v>
      </c>
      <c r="BV10" s="82"/>
      <c r="BW10" s="82" t="str">
        <f>IF(OR(ISBLANK(T10),ISBLANK(V10)),"N/A",IF(ABS(V10-T10)&gt;25,"&gt; 25%","ok"))</f>
        <v>N/A</v>
      </c>
      <c r="BX10" s="82"/>
      <c r="BY10" s="82" t="str">
        <f>IF(OR(ISBLANK(V10),ISBLANK(X10)),"N/A",IF(ABS(X10-V10)&gt;25,"&gt; 25%","ok"))</f>
        <v>N/A</v>
      </c>
      <c r="BZ10" s="82"/>
      <c r="CA10" s="82" t="str">
        <f>IF(OR(ISBLANK(X10),ISBLANK(Z10)),"N/A",IF(ABS(Z10-X10)&gt;25,"&gt; 25%","ok"))</f>
        <v>N/A</v>
      </c>
      <c r="CB10" s="82"/>
      <c r="CC10" s="82" t="str">
        <f>IF(OR(ISBLANK(Z10),ISBLANK(AB10)),"N/A",IF(ABS(AB10-Z10)&gt;25,"&gt; 25%","ok"))</f>
        <v>N/A</v>
      </c>
      <c r="CD10" s="82"/>
      <c r="CE10" s="82" t="str">
        <f>IF(OR(ISBLANK(AB10),ISBLANK(AD10)),"N/A",IF(ABS(AD10-AB10)&gt;25,"&gt; 25%","ok"))</f>
        <v>N/A</v>
      </c>
      <c r="CF10" s="82"/>
      <c r="CG10" s="82" t="str">
        <f>IF(OR(ISBLANK(AD10),ISBLANK(AF10)),"N/A",IF(ABS(AF10-AD10)&gt;25,"&gt; 25%","ok"))</f>
        <v>N/A</v>
      </c>
      <c r="CH10" s="82"/>
      <c r="CI10" s="82" t="str">
        <f>IF(OR(ISBLANK(AF10),ISBLANK(AH10)),"N/A",IF(ABS(AH10-AF10)&gt;25,"&gt; 25%","ok"))</f>
        <v>N/A</v>
      </c>
      <c r="CJ10" s="82"/>
      <c r="CK10" s="82" t="str">
        <f>IF(OR(ISBLANK(AH10),ISBLANK(AJ10)),"N/A",IF(ABS(AJ10-AH10)&gt;25,"&gt; 25%","ok"))</f>
        <v>N/A</v>
      </c>
      <c r="CL10" s="82"/>
      <c r="CM10" s="82" t="str">
        <f>IF(OR(ISBLANK(AJ10),ISBLANK(AL10)),"N/A",IF(ABS(AL10-AJ10)&gt;25,"&gt; 25%","ok"))</f>
        <v>N/A</v>
      </c>
      <c r="CN10" s="82"/>
      <c r="CO10" s="82" t="str">
        <f>IF(OR(ISBLANK(AL10),ISBLANK(AN10)),"N/A",IF(ABS(AN10-AL10)&gt;25,"&gt; 25%","ok"))</f>
        <v>N/A</v>
      </c>
      <c r="CP10" s="82"/>
      <c r="CQ10" s="82" t="str">
        <f>IF(OR(ISBLANK(AN10),ISBLANK(AP10)),"N/A",IF(ABS(AP10-AN10)&gt;25,"&gt; 25%","ok"))</f>
        <v>N/A</v>
      </c>
      <c r="CR10" s="82"/>
      <c r="CS10" s="82" t="str">
        <f>IF(OR(ISBLANK(AP10),ISBLANK(AR10)),"N/A",IF(ABS(AR10-AP10)&gt;25,"&gt; 25%","ok"))</f>
        <v>N/A</v>
      </c>
      <c r="CT10" s="82"/>
      <c r="CU10" s="82" t="str">
        <f>IF(OR(ISBLANK(AR10),ISBLANK(AT10)),"N/A",IF(ABS(AT10-AR10)&gt;25,"&gt; 25%","ok"))</f>
        <v>N/A</v>
      </c>
      <c r="CV10" s="82"/>
      <c r="CW10" s="82" t="str">
        <f>IF(OR(ISBLANK(AT10),ISBLANK(AV10)),"N/A",IF(ABS(AV10-AT10)&gt;25,"&gt; 25%","ok"))</f>
        <v>N/A</v>
      </c>
      <c r="CX10" s="82"/>
      <c r="CY10" s="82" t="str">
        <f>IF(OR(ISBLANK(AV10),ISBLANK(AX10)),"N/A",IF(ABS(AX10-AV10)&gt;25,"&gt; 25%","ok"))</f>
        <v>N/A</v>
      </c>
      <c r="CZ10" s="82"/>
      <c r="DA10" s="82" t="str">
        <f>IF(OR(ISBLANK(AX10),ISBLANK(AZ10)),"N/A",IF(ABS(AZ10-AX10)&gt;25,"&gt; 25%","ok"))</f>
        <v>N/A</v>
      </c>
      <c r="DB10" s="82"/>
    </row>
    <row r="11" spans="2:106" ht="45" customHeight="1">
      <c r="B11" s="235">
        <v>165</v>
      </c>
      <c r="C11" s="257">
        <v>4</v>
      </c>
      <c r="D11" s="267" t="s">
        <v>292</v>
      </c>
      <c r="E11" s="238" t="s">
        <v>541</v>
      </c>
      <c r="F11" s="601"/>
      <c r="G11" s="593"/>
      <c r="H11" s="601"/>
      <c r="I11" s="593"/>
      <c r="J11" s="601"/>
      <c r="K11" s="593"/>
      <c r="L11" s="601"/>
      <c r="M11" s="593"/>
      <c r="N11" s="601"/>
      <c r="O11" s="593"/>
      <c r="P11" s="601"/>
      <c r="Q11" s="593"/>
      <c r="R11" s="601"/>
      <c r="S11" s="593"/>
      <c r="T11" s="601"/>
      <c r="U11" s="593"/>
      <c r="V11" s="601"/>
      <c r="W11" s="593"/>
      <c r="X11" s="601"/>
      <c r="Y11" s="593"/>
      <c r="Z11" s="601"/>
      <c r="AA11" s="593"/>
      <c r="AB11" s="601"/>
      <c r="AC11" s="593"/>
      <c r="AD11" s="601"/>
      <c r="AE11" s="593"/>
      <c r="AF11" s="601"/>
      <c r="AG11" s="593"/>
      <c r="AH11" s="601"/>
      <c r="AI11" s="593"/>
      <c r="AJ11" s="601"/>
      <c r="AK11" s="593"/>
      <c r="AL11" s="601"/>
      <c r="AM11" s="593"/>
      <c r="AN11" s="601"/>
      <c r="AO11" s="593"/>
      <c r="AP11" s="601"/>
      <c r="AQ11" s="593"/>
      <c r="AR11" s="601"/>
      <c r="AS11" s="593"/>
      <c r="AT11" s="601"/>
      <c r="AU11" s="593"/>
      <c r="AV11" s="601"/>
      <c r="AW11" s="593"/>
      <c r="AX11" s="601"/>
      <c r="AY11" s="593"/>
      <c r="AZ11" s="601"/>
      <c r="BA11" s="593"/>
      <c r="BD11" s="84">
        <v>4</v>
      </c>
      <c r="BE11" s="268" t="s">
        <v>390</v>
      </c>
      <c r="BF11" s="100" t="s">
        <v>541</v>
      </c>
      <c r="BG11" s="84" t="s">
        <v>448</v>
      </c>
      <c r="BH11" s="249"/>
      <c r="BI11" s="82" t="str">
        <f>IF(OR(ISBLANK(F11),ISBLANK(H11)),"N/A",IF(ABS(H11-F11)&gt;100,"&gt; 100%","ok"))</f>
        <v>N/A</v>
      </c>
      <c r="BJ11" s="249"/>
      <c r="BK11" s="82" t="str">
        <f>IF(OR(ISBLANK(H11),ISBLANK(J11)),"N/A",IF(ABS(J11-H11)&gt;25,"&gt; 25%","ok"))</f>
        <v>N/A</v>
      </c>
      <c r="BL11" s="82"/>
      <c r="BM11" s="82" t="str">
        <f>IF(OR(ISBLANK(J11),ISBLANK(L11)),"N/A",IF(ABS(L11-J11)&gt;25,"&gt; 25%","ok"))</f>
        <v>N/A</v>
      </c>
      <c r="BN11" s="82"/>
      <c r="BO11" s="82" t="str">
        <f>IF(OR(ISBLANK(L11),ISBLANK(N11)),"N/A",IF(ABS(N11-L11)&gt;25,"&gt; 25%","ok"))</f>
        <v>N/A</v>
      </c>
      <c r="BP11" s="82"/>
      <c r="BQ11" s="82" t="str">
        <f>IF(OR(ISBLANK(N11),ISBLANK(P11)),"N/A",IF(ABS(P11-N11)&gt;25,"&gt; 25%","ok"))</f>
        <v>N/A</v>
      </c>
      <c r="BR11" s="82"/>
      <c r="BS11" s="82" t="str">
        <f>IF(OR(ISBLANK(P11),ISBLANK(R11)),"N/A",IF(ABS(R11-P11)&gt;25,"&gt; 25%","ok"))</f>
        <v>N/A</v>
      </c>
      <c r="BT11" s="82"/>
      <c r="BU11" s="82" t="str">
        <f>IF(OR(ISBLANK(R11),ISBLANK(T11)),"N/A",IF(ABS(T11-R11)&gt;25,"&gt; 25%","ok"))</f>
        <v>N/A</v>
      </c>
      <c r="BV11" s="82"/>
      <c r="BW11" s="82" t="str">
        <f>IF(OR(ISBLANK(T11),ISBLANK(V11)),"N/A",IF(ABS(V11-T11)&gt;25,"&gt; 25%","ok"))</f>
        <v>N/A</v>
      </c>
      <c r="BX11" s="82"/>
      <c r="BY11" s="82" t="str">
        <f>IF(OR(ISBLANK(V11),ISBLANK(X11)),"N/A",IF(ABS(X11-V11)&gt;25,"&gt; 25%","ok"))</f>
        <v>N/A</v>
      </c>
      <c r="BZ11" s="82"/>
      <c r="CA11" s="82" t="str">
        <f>IF(OR(ISBLANK(X11),ISBLANK(Z11)),"N/A",IF(ABS(Z11-X11)&gt;25,"&gt; 25%","ok"))</f>
        <v>N/A</v>
      </c>
      <c r="CB11" s="82"/>
      <c r="CC11" s="82" t="str">
        <f>IF(OR(ISBLANK(Z11),ISBLANK(AB11)),"N/A",IF(ABS(AB11-Z11)&gt;25,"&gt; 25%","ok"))</f>
        <v>N/A</v>
      </c>
      <c r="CD11" s="82"/>
      <c r="CE11" s="82" t="str">
        <f>IF(OR(ISBLANK(AB11),ISBLANK(AD11)),"N/A",IF(ABS(AD11-AB11)&gt;25,"&gt; 25%","ok"))</f>
        <v>N/A</v>
      </c>
      <c r="CF11" s="82"/>
      <c r="CG11" s="82" t="str">
        <f>IF(OR(ISBLANK(AD11),ISBLANK(AF11)),"N/A",IF(ABS(AF11-AD11)&gt;25,"&gt; 25%","ok"))</f>
        <v>N/A</v>
      </c>
      <c r="CH11" s="82"/>
      <c r="CI11" s="82" t="str">
        <f>IF(OR(ISBLANK(AF11),ISBLANK(AH11)),"N/A",IF(ABS(AH11-AF11)&gt;25,"&gt; 25%","ok"))</f>
        <v>N/A</v>
      </c>
      <c r="CJ11" s="82"/>
      <c r="CK11" s="82" t="str">
        <f>IF(OR(ISBLANK(AH11),ISBLANK(AJ11)),"N/A",IF(ABS(AJ11-AH11)&gt;25,"&gt; 25%","ok"))</f>
        <v>N/A</v>
      </c>
      <c r="CL11" s="82"/>
      <c r="CM11" s="82" t="str">
        <f>IF(OR(ISBLANK(AJ11),ISBLANK(AL11)),"N/A",IF(ABS(AL11-AJ11)&gt;25,"&gt; 25%","ok"))</f>
        <v>N/A</v>
      </c>
      <c r="CN11" s="82"/>
      <c r="CO11" s="82" t="str">
        <f>IF(OR(ISBLANK(AL11),ISBLANK(AN11)),"N/A",IF(ABS(AN11-AL11)&gt;25,"&gt; 25%","ok"))</f>
        <v>N/A</v>
      </c>
      <c r="CP11" s="82"/>
      <c r="CQ11" s="82" t="str">
        <f>IF(OR(ISBLANK(AN11),ISBLANK(AP11)),"N/A",IF(ABS(AP11-AN11)&gt;25,"&gt; 25%","ok"))</f>
        <v>N/A</v>
      </c>
      <c r="CR11" s="82"/>
      <c r="CS11" s="82" t="str">
        <f>IF(OR(ISBLANK(AP11),ISBLANK(AR11)),"N/A",IF(ABS(AR11-AP11)&gt;25,"&gt; 25%","ok"))</f>
        <v>N/A</v>
      </c>
      <c r="CT11" s="82"/>
      <c r="CU11" s="82" t="str">
        <f>IF(OR(ISBLANK(AR11),ISBLANK(AT11)),"N/A",IF(ABS(AT11-AR11)&gt;25,"&gt; 25%","ok"))</f>
        <v>N/A</v>
      </c>
      <c r="CV11" s="82"/>
      <c r="CW11" s="82" t="str">
        <f>IF(OR(ISBLANK(AT11),ISBLANK(AV11)),"N/A",IF(ABS(AV11-AT11)&gt;25,"&gt; 25%","ok"))</f>
        <v>N/A</v>
      </c>
      <c r="CX11" s="82"/>
      <c r="CY11" s="82" t="str">
        <f>IF(OR(ISBLANK(AV11),ISBLANK(AX11)),"N/A",IF(ABS(AX11-AV11)&gt;25,"&gt; 25%","ok"))</f>
        <v>N/A</v>
      </c>
      <c r="CZ11" s="82"/>
      <c r="DA11" s="82" t="str">
        <f>IF(OR(ISBLANK(AX11),ISBLANK(AZ11)),"N/A",IF(ABS(AZ11-AX11)&gt;25,"&gt; 25%","ok"))</f>
        <v>N/A</v>
      </c>
      <c r="DB11" s="82"/>
    </row>
    <row r="12" spans="2:106" ht="45" customHeight="1">
      <c r="B12" s="235">
        <v>298</v>
      </c>
      <c r="C12" s="403">
        <v>5</v>
      </c>
      <c r="D12" s="271" t="s">
        <v>331</v>
      </c>
      <c r="E12" s="403" t="s">
        <v>541</v>
      </c>
      <c r="F12" s="602"/>
      <c r="G12" s="599"/>
      <c r="H12" s="602"/>
      <c r="I12" s="599"/>
      <c r="J12" s="602"/>
      <c r="K12" s="599"/>
      <c r="L12" s="602"/>
      <c r="M12" s="599"/>
      <c r="N12" s="602"/>
      <c r="O12" s="599"/>
      <c r="P12" s="602"/>
      <c r="Q12" s="599"/>
      <c r="R12" s="602"/>
      <c r="S12" s="599"/>
      <c r="T12" s="602"/>
      <c r="U12" s="599"/>
      <c r="V12" s="602"/>
      <c r="W12" s="599"/>
      <c r="X12" s="602"/>
      <c r="Y12" s="599"/>
      <c r="Z12" s="602"/>
      <c r="AA12" s="599"/>
      <c r="AB12" s="602"/>
      <c r="AC12" s="599"/>
      <c r="AD12" s="602"/>
      <c r="AE12" s="599"/>
      <c r="AF12" s="602"/>
      <c r="AG12" s="599"/>
      <c r="AH12" s="602"/>
      <c r="AI12" s="599"/>
      <c r="AJ12" s="602"/>
      <c r="AK12" s="599"/>
      <c r="AL12" s="602"/>
      <c r="AM12" s="599"/>
      <c r="AN12" s="602"/>
      <c r="AO12" s="599"/>
      <c r="AP12" s="602"/>
      <c r="AQ12" s="599"/>
      <c r="AR12" s="602"/>
      <c r="AS12" s="599"/>
      <c r="AT12" s="602"/>
      <c r="AU12" s="599"/>
      <c r="AV12" s="602"/>
      <c r="AW12" s="599"/>
      <c r="AX12" s="602"/>
      <c r="AY12" s="599"/>
      <c r="AZ12" s="602"/>
      <c r="BA12" s="599"/>
      <c r="BD12" s="98">
        <v>5</v>
      </c>
      <c r="BE12" s="470" t="s">
        <v>438</v>
      </c>
      <c r="BF12" s="98" t="s">
        <v>541</v>
      </c>
      <c r="BG12" s="98" t="s">
        <v>448</v>
      </c>
      <c r="BH12" s="276"/>
      <c r="BI12" s="83" t="str">
        <f>IF(OR(ISBLANK(F12),ISBLANK(H12)),"N/A",IF(ABS(H12-F12)&gt;100,"&gt; 100%","ok"))</f>
        <v>N/A</v>
      </c>
      <c r="BJ12" s="276"/>
      <c r="BK12" s="83" t="str">
        <f>IF(OR(ISBLANK(H12),ISBLANK(J12)),"N/A",IF(ABS(J12-H12)&gt;25,"&gt; 25%","ok"))</f>
        <v>N/A</v>
      </c>
      <c r="BL12" s="83"/>
      <c r="BM12" s="83" t="str">
        <f>IF(OR(ISBLANK(J12),ISBLANK(L12)),"N/A",IF(ABS(L12-J12)&gt;25,"&gt; 25%","ok"))</f>
        <v>N/A</v>
      </c>
      <c r="BN12" s="83"/>
      <c r="BO12" s="83" t="str">
        <f>IF(OR(ISBLANK(L12),ISBLANK(N12)),"N/A",IF(ABS(N12-L12)&gt;25,"&gt; 25%","ok"))</f>
        <v>N/A</v>
      </c>
      <c r="BP12" s="83"/>
      <c r="BQ12" s="83" t="str">
        <f>IF(OR(ISBLANK(N12),ISBLANK(P12)),"N/A",IF(ABS(P12-N12)&gt;25,"&gt; 25%","ok"))</f>
        <v>N/A</v>
      </c>
      <c r="BR12" s="83"/>
      <c r="BS12" s="83" t="str">
        <f>IF(OR(ISBLANK(P12),ISBLANK(R12)),"N/A",IF(ABS(R12-P12)&gt;25,"&gt; 25%","ok"))</f>
        <v>N/A</v>
      </c>
      <c r="BT12" s="83"/>
      <c r="BU12" s="83" t="str">
        <f>IF(OR(ISBLANK(R12),ISBLANK(T12)),"N/A",IF(ABS(T12-R12)&gt;25,"&gt; 25%","ok"))</f>
        <v>N/A</v>
      </c>
      <c r="BV12" s="83"/>
      <c r="BW12" s="83" t="str">
        <f>IF(OR(ISBLANK(T12),ISBLANK(V12)),"N/A",IF(ABS(V12-T12)&gt;25,"&gt; 25%","ok"))</f>
        <v>N/A</v>
      </c>
      <c r="BX12" s="83"/>
      <c r="BY12" s="83" t="str">
        <f>IF(OR(ISBLANK(V12),ISBLANK(X12)),"N/A",IF(ABS(X12-V12)&gt;25,"&gt; 25%","ok"))</f>
        <v>N/A</v>
      </c>
      <c r="BZ12" s="83"/>
      <c r="CA12" s="83" t="str">
        <f>IF(OR(ISBLANK(X12),ISBLANK(Z12)),"N/A",IF(ABS(Z12-X12)&gt;25,"&gt; 25%","ok"))</f>
        <v>N/A</v>
      </c>
      <c r="CB12" s="83"/>
      <c r="CC12" s="83" t="str">
        <f>IF(OR(ISBLANK(Z12),ISBLANK(AB12)),"N/A",IF(ABS(AB12-Z12)&gt;25,"&gt; 25%","ok"))</f>
        <v>N/A</v>
      </c>
      <c r="CD12" s="83"/>
      <c r="CE12" s="83" t="str">
        <f>IF(OR(ISBLANK(AB12),ISBLANK(AD12)),"N/A",IF(ABS(AD12-AB12)&gt;25,"&gt; 25%","ok"))</f>
        <v>N/A</v>
      </c>
      <c r="CF12" s="83"/>
      <c r="CG12" s="83" t="str">
        <f>IF(OR(ISBLANK(AD12),ISBLANK(AF12)),"N/A",IF(ABS(AF12-AD12)&gt;25,"&gt; 25%","ok"))</f>
        <v>N/A</v>
      </c>
      <c r="CH12" s="83"/>
      <c r="CI12" s="83" t="str">
        <f>IF(OR(ISBLANK(AF12),ISBLANK(AH12)),"N/A",IF(ABS(AH12-AF12)&gt;25,"&gt; 25%","ok"))</f>
        <v>N/A</v>
      </c>
      <c r="CJ12" s="83"/>
      <c r="CK12" s="83" t="str">
        <f>IF(OR(ISBLANK(AH12),ISBLANK(AJ12)),"N/A",IF(ABS(AJ12-AH12)&gt;25,"&gt; 25%","ok"))</f>
        <v>N/A</v>
      </c>
      <c r="CL12" s="83"/>
      <c r="CM12" s="83" t="str">
        <f>IF(OR(ISBLANK(AJ12),ISBLANK(AL12)),"N/A",IF(ABS(AL12-AJ12)&gt;25,"&gt; 25%","ok"))</f>
        <v>N/A</v>
      </c>
      <c r="CN12" s="83"/>
      <c r="CO12" s="83" t="str">
        <f>IF(OR(ISBLANK(AL12),ISBLANK(AN12)),"N/A",IF(ABS(AN12-AL12)&gt;25,"&gt; 25%","ok"))</f>
        <v>N/A</v>
      </c>
      <c r="CP12" s="83"/>
      <c r="CQ12" s="83" t="str">
        <f>IF(OR(ISBLANK(AN12),ISBLANK(AP12)),"N/A",IF(ABS(AP12-AN12)&gt;25,"&gt; 25%","ok"))</f>
        <v>N/A</v>
      </c>
      <c r="CR12" s="83"/>
      <c r="CS12" s="83" t="str">
        <f>IF(OR(ISBLANK(AP12),ISBLANK(AR12)),"N/A",IF(ABS(AR12-AP12)&gt;25,"&gt; 25%","ok"))</f>
        <v>N/A</v>
      </c>
      <c r="CT12" s="83"/>
      <c r="CU12" s="83" t="str">
        <f>IF(OR(ISBLANK(AR12),ISBLANK(AT12)),"N/A",IF(ABS(AT12-AR12)&gt;25,"&gt; 25%","ok"))</f>
        <v>N/A</v>
      </c>
      <c r="CV12" s="83"/>
      <c r="CW12" s="83" t="str">
        <f>IF(OR(ISBLANK(AT12),ISBLANK(AV12)),"N/A",IF(ABS(AV12-AT12)&gt;25,"&gt; 25%","ok"))</f>
        <v>N/A</v>
      </c>
      <c r="CX12" s="83"/>
      <c r="CY12" s="83" t="str">
        <f>IF(OR(ISBLANK(AV12),ISBLANK(AX12)),"N/A",IF(ABS(AX12-AV12)&gt;25,"&gt; 25%","ok"))</f>
        <v>N/A</v>
      </c>
      <c r="CZ12" s="83"/>
      <c r="DA12" s="83" t="str">
        <f>IF(OR(ISBLANK(AX12),ISBLANK(AZ12)),"N/A",IF(ABS(AZ12-AX12)&gt;25,"&gt; 25%","ok"))</f>
        <v>N/A</v>
      </c>
      <c r="DB12" s="83"/>
    </row>
    <row r="13" spans="3:40" ht="5.25" customHeight="1">
      <c r="C13" s="514"/>
      <c r="D13" s="207"/>
      <c r="E13" s="307"/>
      <c r="F13" s="207"/>
      <c r="G13" s="207"/>
      <c r="H13" s="207"/>
      <c r="I13" s="206"/>
      <c r="J13" s="206"/>
      <c r="K13" s="206"/>
      <c r="L13" s="206"/>
      <c r="M13" s="206"/>
      <c r="N13" s="206"/>
      <c r="O13" s="206"/>
      <c r="P13" s="302"/>
      <c r="Q13" s="206"/>
      <c r="R13" s="302"/>
      <c r="S13" s="206"/>
      <c r="T13" s="302"/>
      <c r="U13" s="206"/>
      <c r="V13" s="302"/>
      <c r="W13" s="206"/>
      <c r="X13" s="207"/>
      <c r="Y13" s="206"/>
      <c r="Z13" s="207"/>
      <c r="AA13" s="206"/>
      <c r="AB13" s="207"/>
      <c r="AC13" s="206"/>
      <c r="AD13" s="207"/>
      <c r="AE13" s="206"/>
      <c r="AF13" s="207"/>
      <c r="AG13" s="206"/>
      <c r="AH13" s="207"/>
      <c r="AI13" s="206"/>
      <c r="AJ13" s="302"/>
      <c r="AK13" s="206"/>
      <c r="AL13" s="207"/>
      <c r="AM13" s="206"/>
      <c r="AN13" s="207"/>
    </row>
    <row r="14" spans="3:56" ht="12.75">
      <c r="C14" s="365" t="s">
        <v>547</v>
      </c>
      <c r="D14" s="274"/>
      <c r="E14" s="472"/>
      <c r="F14" s="365"/>
      <c r="G14" s="365"/>
      <c r="BD14" s="376" t="s">
        <v>569</v>
      </c>
    </row>
    <row r="15" spans="1:116" ht="25.5" customHeight="1">
      <c r="A15" s="291"/>
      <c r="B15" s="291"/>
      <c r="C15" s="289" t="s">
        <v>466</v>
      </c>
      <c r="D15" s="782" t="s">
        <v>185</v>
      </c>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560"/>
      <c r="BD15" s="226" t="s">
        <v>545</v>
      </c>
      <c r="BE15" s="226" t="s">
        <v>546</v>
      </c>
      <c r="BF15" s="226" t="s">
        <v>548</v>
      </c>
      <c r="BG15" s="617">
        <v>1990</v>
      </c>
      <c r="BH15" s="618"/>
      <c r="BI15" s="617">
        <v>1995</v>
      </c>
      <c r="BJ15" s="618"/>
      <c r="BK15" s="617">
        <v>1996</v>
      </c>
      <c r="BL15" s="618"/>
      <c r="BM15" s="617">
        <v>1997</v>
      </c>
      <c r="BN15" s="618"/>
      <c r="BO15" s="617">
        <v>1998</v>
      </c>
      <c r="BP15" s="618"/>
      <c r="BQ15" s="617">
        <v>1999</v>
      </c>
      <c r="BR15" s="618"/>
      <c r="BS15" s="617">
        <v>2000</v>
      </c>
      <c r="BT15" s="618"/>
      <c r="BU15" s="617">
        <v>2001</v>
      </c>
      <c r="BV15" s="618"/>
      <c r="BW15" s="617">
        <v>2002</v>
      </c>
      <c r="BX15" s="618"/>
      <c r="BY15" s="617">
        <v>2003</v>
      </c>
      <c r="BZ15" s="618"/>
      <c r="CA15" s="617">
        <v>2004</v>
      </c>
      <c r="CB15" s="618"/>
      <c r="CC15" s="617">
        <v>2005</v>
      </c>
      <c r="CD15" s="618"/>
      <c r="CE15" s="617">
        <v>2006</v>
      </c>
      <c r="CF15" s="618"/>
      <c r="CG15" s="617">
        <v>2007</v>
      </c>
      <c r="CH15" s="618"/>
      <c r="CI15" s="617">
        <v>2008</v>
      </c>
      <c r="CJ15" s="618"/>
      <c r="CK15" s="617">
        <v>2009</v>
      </c>
      <c r="CL15" s="618"/>
      <c r="CM15" s="617">
        <v>2010</v>
      </c>
      <c r="CN15" s="618"/>
      <c r="CO15" s="617">
        <v>2011</v>
      </c>
      <c r="CP15" s="619"/>
      <c r="CQ15" s="617">
        <v>2012</v>
      </c>
      <c r="CR15" s="618"/>
      <c r="CS15" s="617">
        <v>2013</v>
      </c>
      <c r="CT15" s="618"/>
      <c r="CU15" s="617">
        <v>2014</v>
      </c>
      <c r="CV15" s="618"/>
      <c r="CW15" s="617">
        <v>2015</v>
      </c>
      <c r="CX15" s="618"/>
      <c r="CY15" s="617">
        <v>2016</v>
      </c>
      <c r="CZ15" s="618"/>
      <c r="DA15" s="617">
        <v>2017</v>
      </c>
      <c r="DB15" s="618"/>
      <c r="DC15" s="292"/>
      <c r="DD15" s="292"/>
      <c r="DE15" s="292"/>
      <c r="DF15" s="292"/>
      <c r="DG15" s="292"/>
      <c r="DH15" s="292"/>
      <c r="DI15" s="292"/>
      <c r="DJ15" s="292"/>
      <c r="DK15" s="292"/>
      <c r="DL15" s="292"/>
    </row>
    <row r="16" spans="1:116" ht="14.25" customHeight="1">
      <c r="A16" s="291"/>
      <c r="B16" s="291"/>
      <c r="C16" s="289" t="s">
        <v>466</v>
      </c>
      <c r="D16" s="788" t="s">
        <v>504</v>
      </c>
      <c r="E16" s="788"/>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8"/>
      <c r="AP16" s="788"/>
      <c r="AQ16" s="788"/>
      <c r="AR16" s="788"/>
      <c r="AS16" s="788"/>
      <c r="AT16" s="788"/>
      <c r="AU16" s="788"/>
      <c r="AV16" s="788"/>
      <c r="AW16" s="788"/>
      <c r="AX16" s="788"/>
      <c r="AY16" s="788"/>
      <c r="AZ16" s="788"/>
      <c r="BA16" s="788"/>
      <c r="BB16" s="788"/>
      <c r="BC16" s="560"/>
      <c r="BD16" s="408">
        <v>1</v>
      </c>
      <c r="BE16" s="555" t="s">
        <v>393</v>
      </c>
      <c r="BF16" s="100" t="s">
        <v>541</v>
      </c>
      <c r="BG16" s="100">
        <f>F8</f>
        <v>0</v>
      </c>
      <c r="BH16" s="100"/>
      <c r="BI16" s="100">
        <f>H8</f>
        <v>0</v>
      </c>
      <c r="BJ16" s="100"/>
      <c r="BK16" s="100">
        <f>J8</f>
        <v>0</v>
      </c>
      <c r="BL16" s="100"/>
      <c r="BM16" s="100">
        <f>L8</f>
        <v>0</v>
      </c>
      <c r="BN16" s="100"/>
      <c r="BO16" s="100">
        <f>N8</f>
        <v>0</v>
      </c>
      <c r="BP16" s="100"/>
      <c r="BQ16" s="100">
        <f>P8</f>
        <v>0</v>
      </c>
      <c r="BR16" s="100"/>
      <c r="BS16" s="100">
        <f>R8</f>
        <v>0</v>
      </c>
      <c r="BT16" s="100"/>
      <c r="BU16" s="100">
        <f>T8</f>
        <v>0</v>
      </c>
      <c r="BV16" s="100"/>
      <c r="BW16" s="100">
        <f>V8</f>
        <v>0</v>
      </c>
      <c r="BX16" s="100"/>
      <c r="BY16" s="100">
        <f>X8</f>
        <v>0</v>
      </c>
      <c r="BZ16" s="100"/>
      <c r="CA16" s="100">
        <f>Z8</f>
        <v>0</v>
      </c>
      <c r="CB16" s="100"/>
      <c r="CC16" s="100">
        <f>AB8</f>
        <v>0</v>
      </c>
      <c r="CD16" s="100"/>
      <c r="CE16" s="100">
        <f>AD8</f>
        <v>0</v>
      </c>
      <c r="CF16" s="100"/>
      <c r="CG16" s="100">
        <f>AF8</f>
        <v>0</v>
      </c>
      <c r="CH16" s="100"/>
      <c r="CI16" s="100">
        <f>AH8</f>
        <v>0</v>
      </c>
      <c r="CJ16" s="100"/>
      <c r="CK16" s="100">
        <f>AJ8</f>
        <v>0</v>
      </c>
      <c r="CL16" s="100"/>
      <c r="CM16" s="100">
        <f>AL8</f>
        <v>0</v>
      </c>
      <c r="CN16" s="100"/>
      <c r="CO16" s="100">
        <f>AN8</f>
        <v>0</v>
      </c>
      <c r="CP16" s="100"/>
      <c r="CQ16" s="100">
        <f>AP8</f>
        <v>0</v>
      </c>
      <c r="CR16" s="100"/>
      <c r="CS16" s="100">
        <f>AR8</f>
        <v>0</v>
      </c>
      <c r="CT16" s="100"/>
      <c r="CU16" s="100">
        <f>AT8</f>
        <v>0</v>
      </c>
      <c r="CV16" s="100"/>
      <c r="CW16" s="100">
        <f>AV8</f>
        <v>0</v>
      </c>
      <c r="CX16" s="100"/>
      <c r="CY16" s="100">
        <f>AX8</f>
        <v>0</v>
      </c>
      <c r="CZ16" s="100"/>
      <c r="DA16" s="100">
        <f>AZ8</f>
        <v>0</v>
      </c>
      <c r="DB16" s="100"/>
      <c r="DC16" s="292"/>
      <c r="DD16" s="292"/>
      <c r="DE16" s="292"/>
      <c r="DF16" s="292"/>
      <c r="DG16" s="292"/>
      <c r="DH16" s="292"/>
      <c r="DI16" s="292"/>
      <c r="DJ16" s="292"/>
      <c r="DK16" s="292"/>
      <c r="DL16" s="292"/>
    </row>
    <row r="17" spans="1:116" ht="9" customHeight="1">
      <c r="A17" s="291"/>
      <c r="B17" s="291"/>
      <c r="C17" s="289"/>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833"/>
      <c r="AZ17" s="833"/>
      <c r="BA17" s="833"/>
      <c r="BB17" s="833"/>
      <c r="BC17" s="560"/>
      <c r="BD17" s="386">
        <v>2</v>
      </c>
      <c r="BE17" s="557" t="s">
        <v>394</v>
      </c>
      <c r="BF17" s="100" t="s">
        <v>541</v>
      </c>
      <c r="BG17" s="100">
        <f>F9</f>
        <v>0</v>
      </c>
      <c r="BH17" s="100"/>
      <c r="BI17" s="100">
        <f>H9</f>
        <v>0</v>
      </c>
      <c r="BJ17" s="100"/>
      <c r="BK17" s="100">
        <f>J9</f>
        <v>0</v>
      </c>
      <c r="BL17" s="100"/>
      <c r="BM17" s="100">
        <f>L9</f>
        <v>0</v>
      </c>
      <c r="BN17" s="100"/>
      <c r="BO17" s="100">
        <f>N9</f>
        <v>0</v>
      </c>
      <c r="BP17" s="100"/>
      <c r="BQ17" s="100">
        <f>P9</f>
        <v>0</v>
      </c>
      <c r="BR17" s="100"/>
      <c r="BS17" s="100">
        <f>R9</f>
        <v>0</v>
      </c>
      <c r="BT17" s="100"/>
      <c r="BU17" s="100">
        <f>T9</f>
        <v>0</v>
      </c>
      <c r="BV17" s="100"/>
      <c r="BW17" s="100">
        <f>V9</f>
        <v>0</v>
      </c>
      <c r="BX17" s="100"/>
      <c r="BY17" s="100">
        <f>X9</f>
        <v>0</v>
      </c>
      <c r="BZ17" s="100"/>
      <c r="CA17" s="100">
        <f>Z9</f>
        <v>0</v>
      </c>
      <c r="CB17" s="100"/>
      <c r="CC17" s="100">
        <f>AB9</f>
        <v>0</v>
      </c>
      <c r="CD17" s="100"/>
      <c r="CE17" s="100">
        <f>AD9</f>
        <v>0</v>
      </c>
      <c r="CF17" s="100"/>
      <c r="CG17" s="100">
        <f>AF9</f>
        <v>0</v>
      </c>
      <c r="CH17" s="100"/>
      <c r="CI17" s="100">
        <f>AH9</f>
        <v>0</v>
      </c>
      <c r="CJ17" s="100"/>
      <c r="CK17" s="100">
        <f>AJ9</f>
        <v>0</v>
      </c>
      <c r="CL17" s="100"/>
      <c r="CM17" s="100">
        <f>AL9</f>
        <v>0</v>
      </c>
      <c r="CN17" s="100"/>
      <c r="CO17" s="100">
        <f>AN9</f>
        <v>0</v>
      </c>
      <c r="CP17" s="100"/>
      <c r="CQ17" s="100">
        <f>AP9</f>
        <v>0</v>
      </c>
      <c r="CR17" s="100"/>
      <c r="CS17" s="100">
        <f>AR9</f>
        <v>0</v>
      </c>
      <c r="CT17" s="100"/>
      <c r="CU17" s="100">
        <f>AT9</f>
        <v>0</v>
      </c>
      <c r="CV17" s="100"/>
      <c r="CW17" s="100">
        <f>AV9</f>
        <v>0</v>
      </c>
      <c r="CX17" s="100"/>
      <c r="CY17" s="100">
        <f>AX9</f>
        <v>0</v>
      </c>
      <c r="CZ17" s="100"/>
      <c r="DA17" s="100">
        <f>AZ9</f>
        <v>0</v>
      </c>
      <c r="DB17" s="100"/>
      <c r="DC17" s="292"/>
      <c r="DD17" s="292"/>
      <c r="DE17" s="292"/>
      <c r="DF17" s="292"/>
      <c r="DG17" s="292"/>
      <c r="DH17" s="292"/>
      <c r="DI17" s="292"/>
      <c r="DJ17" s="292"/>
      <c r="DK17" s="292"/>
      <c r="DL17" s="292"/>
    </row>
    <row r="18" spans="1:106" s="190" customFormat="1" ht="7.5" customHeight="1">
      <c r="A18" s="179"/>
      <c r="B18" s="180"/>
      <c r="C18" s="410"/>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D18" s="300" t="s">
        <v>469</v>
      </c>
      <c r="BE18" s="297" t="s">
        <v>422</v>
      </c>
      <c r="BF18" s="100"/>
      <c r="BG18" s="100" t="str">
        <f>IF(OR(ISBLANK(F8),ISBLANK(F9)),"N/A",IF(BG16&gt;=BG17,"ok","&lt;&gt;"))</f>
        <v>N/A</v>
      </c>
      <c r="BH18" s="100"/>
      <c r="BI18" s="100" t="str">
        <f>IF(OR(ISBLANK(H8),ISBLANK(H9)),"N/A",IF(BI16&gt;=BI17,"ok","&lt;&gt;"))</f>
        <v>N/A</v>
      </c>
      <c r="BJ18" s="100"/>
      <c r="BK18" s="100" t="str">
        <f>IF(OR(ISBLANK(J8),ISBLANK(J9)),"N/A",IF(BK16&gt;=BK17,"ok","&lt;&gt;"))</f>
        <v>N/A</v>
      </c>
      <c r="BL18" s="100"/>
      <c r="BM18" s="100" t="str">
        <f>IF(OR(ISBLANK(L8),ISBLANK(L9)),"N/A",IF(BM16&gt;=BM17,"ok","&lt;&gt;"))</f>
        <v>N/A</v>
      </c>
      <c r="BN18" s="100"/>
      <c r="BO18" s="100" t="str">
        <f>IF(OR(ISBLANK(N8),ISBLANK(N9)),"N/A",IF(BO16&gt;=BO17,"ok","&lt;&gt;"))</f>
        <v>N/A</v>
      </c>
      <c r="BP18" s="100"/>
      <c r="BQ18" s="100" t="str">
        <f>IF(OR(ISBLANK(P8),ISBLANK(P9)),"N/A",IF(BQ16&gt;=BQ17,"ok","&lt;&gt;"))</f>
        <v>N/A</v>
      </c>
      <c r="BR18" s="100"/>
      <c r="BS18" s="100" t="str">
        <f>IF(OR(ISBLANK(R8),ISBLANK(R9)),"N/A",IF(BS16&gt;=BS17,"ok","&lt;&gt;"))</f>
        <v>N/A</v>
      </c>
      <c r="BT18" s="100"/>
      <c r="BU18" s="100" t="str">
        <f>IF(OR(ISBLANK(T8),ISBLANK(T9)),"N/A",IF(BU16&gt;=BU17,"ok","&lt;&gt;"))</f>
        <v>N/A</v>
      </c>
      <c r="BV18" s="100"/>
      <c r="BW18" s="100" t="str">
        <f>IF(OR(ISBLANK(V8),ISBLANK(V9)),"N/A",IF(BW16&gt;=BW17,"ok","&lt;&gt;"))</f>
        <v>N/A</v>
      </c>
      <c r="BX18" s="100"/>
      <c r="BY18" s="100" t="str">
        <f>IF(OR(ISBLANK(X8),ISBLANK(X9)),"N/A",IF(BY16&gt;=BY17,"ok","&lt;&gt;"))</f>
        <v>N/A</v>
      </c>
      <c r="BZ18" s="100"/>
      <c r="CA18" s="100" t="str">
        <f>IF(OR(ISBLANK(Z8),ISBLANK(Z9)),"N/A",IF(CA16&gt;=CA17,"ok","&lt;&gt;"))</f>
        <v>N/A</v>
      </c>
      <c r="CB18" s="100"/>
      <c r="CC18" s="100" t="str">
        <f>IF(OR(ISBLANK(AB8),ISBLANK(AB9)),"N/A",IF(CC16&gt;=CC17,"ok","&lt;&gt;"))</f>
        <v>N/A</v>
      </c>
      <c r="CD18" s="100"/>
      <c r="CE18" s="100" t="str">
        <f>IF(OR(ISBLANK(AD8),ISBLANK(AD9)),"N/A",IF(CE16&gt;=CE17,"ok","&lt;&gt;"))</f>
        <v>N/A</v>
      </c>
      <c r="CF18" s="100"/>
      <c r="CG18" s="100" t="str">
        <f>IF(OR(ISBLANK(AF8),ISBLANK(AF9)),"N/A",IF(CG16&gt;=CG17,"ok","&lt;&gt;"))</f>
        <v>N/A</v>
      </c>
      <c r="CH18" s="100"/>
      <c r="CI18" s="100" t="str">
        <f>IF(OR(ISBLANK(AH8),ISBLANK(AH9)),"N/A",IF(CI16&gt;=CI17,"ok","&lt;&gt;"))</f>
        <v>N/A</v>
      </c>
      <c r="CJ18" s="100"/>
      <c r="CK18" s="100" t="str">
        <f>IF(OR(ISBLANK(AJ8),ISBLANK(AJ9)),"N/A",IF(CK16&gt;=CK17,"ok","&lt;&gt;"))</f>
        <v>N/A</v>
      </c>
      <c r="CL18" s="100"/>
      <c r="CM18" s="100" t="str">
        <f>IF(OR(ISBLANK(AL8),ISBLANK(AL9)),"N/A",IF(CM16&gt;=CM17,"ok","&lt;&gt;"))</f>
        <v>N/A</v>
      </c>
      <c r="CN18" s="100"/>
      <c r="CO18" s="100" t="str">
        <f>IF(OR(ISBLANK(AN8),ISBLANK(AN9)),"N/A",IF(CO16&gt;=CO17,"ok","&lt;&gt;"))</f>
        <v>N/A</v>
      </c>
      <c r="CP18" s="100"/>
      <c r="CQ18" s="100" t="str">
        <f>IF(OR(ISBLANK(AP8),ISBLANK(AP9)),"N/A",IF(CQ16&gt;=CQ17,"ok","&lt;&gt;"))</f>
        <v>N/A</v>
      </c>
      <c r="CR18" s="100"/>
      <c r="CS18" s="100" t="str">
        <f>IF(OR(ISBLANK(AR8),ISBLANK(AR9)),"N/A",IF(CS16&gt;=CS17,"ok","&lt;&gt;"))</f>
        <v>N/A</v>
      </c>
      <c r="CT18" s="100"/>
      <c r="CU18" s="100" t="str">
        <f>IF(OR(ISBLANK(AT8),ISBLANK(AT9)),"N/A",IF(CU16&gt;=CU17,"ok","&lt;&gt;"))</f>
        <v>N/A</v>
      </c>
      <c r="CV18" s="100"/>
      <c r="CW18" s="100" t="str">
        <f>IF(OR(ISBLANK(AV8),ISBLANK(AV9)),"N/A",IF(CW16&gt;=CW17,"ok","&lt;&gt;"))</f>
        <v>N/A</v>
      </c>
      <c r="CX18" s="100"/>
      <c r="CY18" s="100" t="str">
        <f>IF(OR(ISBLANK(AX8),ISBLANK(AX9)),"N/A",IF(CY16&gt;=CY17,"ok","&lt;&gt;"))</f>
        <v>N/A</v>
      </c>
      <c r="CZ18" s="100"/>
      <c r="DA18" s="100" t="str">
        <f>IF(OR(ISBLANK(AZ8),ISBLANK(AZ9)),"N/A",IF(DA16&gt;=DA17,"ok","&lt;&gt;"))</f>
        <v>N/A</v>
      </c>
      <c r="DB18" s="100"/>
    </row>
    <row r="19" spans="1:106" s="447" customFormat="1" ht="22.5">
      <c r="A19" s="446"/>
      <c r="B19" s="428">
        <v>2</v>
      </c>
      <c r="C19" s="411" t="s">
        <v>308</v>
      </c>
      <c r="D19" s="412"/>
      <c r="E19" s="411"/>
      <c r="F19" s="210"/>
      <c r="G19" s="210"/>
      <c r="H19" s="413"/>
      <c r="I19" s="414"/>
      <c r="J19" s="414"/>
      <c r="K19" s="414"/>
      <c r="L19" s="414"/>
      <c r="M19" s="414"/>
      <c r="N19" s="414"/>
      <c r="O19" s="414"/>
      <c r="P19" s="415"/>
      <c r="Q19" s="414"/>
      <c r="R19" s="415"/>
      <c r="S19" s="414"/>
      <c r="T19" s="415"/>
      <c r="U19" s="414"/>
      <c r="V19" s="415"/>
      <c r="W19" s="414"/>
      <c r="X19" s="413"/>
      <c r="Y19" s="414"/>
      <c r="Z19" s="413"/>
      <c r="AA19" s="414"/>
      <c r="AB19" s="413"/>
      <c r="AC19" s="414"/>
      <c r="AD19" s="413"/>
      <c r="AE19" s="414"/>
      <c r="AF19" s="413"/>
      <c r="AG19" s="416"/>
      <c r="AH19" s="413"/>
      <c r="AI19" s="414"/>
      <c r="AJ19" s="415"/>
      <c r="AK19" s="414"/>
      <c r="AL19" s="413"/>
      <c r="AM19" s="414"/>
      <c r="AN19" s="413"/>
      <c r="AO19" s="414"/>
      <c r="AP19" s="414"/>
      <c r="AQ19" s="414"/>
      <c r="AR19" s="414"/>
      <c r="AS19" s="414"/>
      <c r="AT19" s="367"/>
      <c r="AU19" s="366"/>
      <c r="AV19" s="414"/>
      <c r="AW19" s="414"/>
      <c r="AX19" s="367"/>
      <c r="AY19" s="366"/>
      <c r="AZ19" s="367"/>
      <c r="BA19" s="366"/>
      <c r="BB19" s="453"/>
      <c r="BD19" s="100">
        <v>3</v>
      </c>
      <c r="BE19" s="559" t="s">
        <v>571</v>
      </c>
      <c r="BF19" s="100" t="s">
        <v>541</v>
      </c>
      <c r="BG19" s="100">
        <f>F10</f>
        <v>0</v>
      </c>
      <c r="BH19" s="100"/>
      <c r="BI19" s="100">
        <f>H10</f>
        <v>0</v>
      </c>
      <c r="BJ19" s="100"/>
      <c r="BK19" s="100">
        <f>J10</f>
        <v>0</v>
      </c>
      <c r="BL19" s="100"/>
      <c r="BM19" s="100">
        <f>L10</f>
        <v>0</v>
      </c>
      <c r="BN19" s="100"/>
      <c r="BO19" s="100">
        <f>N10</f>
        <v>0</v>
      </c>
      <c r="BP19" s="100"/>
      <c r="BQ19" s="100">
        <f>P10</f>
        <v>0</v>
      </c>
      <c r="BR19" s="100"/>
      <c r="BS19" s="100">
        <f>R10</f>
        <v>0</v>
      </c>
      <c r="BT19" s="100"/>
      <c r="BU19" s="100">
        <f>T10</f>
        <v>0</v>
      </c>
      <c r="BV19" s="100"/>
      <c r="BW19" s="100">
        <f>V10</f>
        <v>0</v>
      </c>
      <c r="BX19" s="100"/>
      <c r="BY19" s="100">
        <f>X10</f>
        <v>0</v>
      </c>
      <c r="BZ19" s="100"/>
      <c r="CA19" s="100">
        <f>Z10</f>
        <v>0</v>
      </c>
      <c r="CB19" s="100"/>
      <c r="CC19" s="100">
        <f>AB10</f>
        <v>0</v>
      </c>
      <c r="CD19" s="100"/>
      <c r="CE19" s="100">
        <f>AD10</f>
        <v>0</v>
      </c>
      <c r="CF19" s="100"/>
      <c r="CG19" s="100">
        <f>AF10</f>
        <v>0</v>
      </c>
      <c r="CH19" s="100"/>
      <c r="CI19" s="100">
        <f>AH10</f>
        <v>0</v>
      </c>
      <c r="CJ19" s="100"/>
      <c r="CK19" s="100">
        <f>AJ10</f>
        <v>0</v>
      </c>
      <c r="CL19" s="100"/>
      <c r="CM19" s="100">
        <f>AL10</f>
        <v>0</v>
      </c>
      <c r="CN19" s="100"/>
      <c r="CO19" s="100">
        <f>AN10</f>
        <v>0</v>
      </c>
      <c r="CP19" s="100"/>
      <c r="CQ19" s="100">
        <f>AP10</f>
        <v>0</v>
      </c>
      <c r="CR19" s="100"/>
      <c r="CS19" s="100">
        <f>AR10</f>
        <v>0</v>
      </c>
      <c r="CT19" s="100"/>
      <c r="CU19" s="100">
        <f>AT10</f>
        <v>0</v>
      </c>
      <c r="CV19" s="100"/>
      <c r="CW19" s="100">
        <f>AV10</f>
        <v>0</v>
      </c>
      <c r="CX19" s="100"/>
      <c r="CY19" s="100">
        <f>AX10</f>
        <v>0</v>
      </c>
      <c r="CZ19" s="100"/>
      <c r="DA19" s="100">
        <f>AZ10</f>
        <v>0</v>
      </c>
      <c r="DB19" s="100"/>
    </row>
    <row r="20" spans="3:106" ht="2.25" customHeight="1">
      <c r="C20" s="417"/>
      <c r="D20" s="417"/>
      <c r="E20" s="418"/>
      <c r="F20" s="353"/>
      <c r="G20" s="353"/>
      <c r="H20" s="349"/>
      <c r="I20" s="350"/>
      <c r="J20" s="350"/>
      <c r="K20" s="350"/>
      <c r="L20" s="350"/>
      <c r="M20" s="350"/>
      <c r="N20" s="350"/>
      <c r="O20" s="350"/>
      <c r="P20" s="351"/>
      <c r="Q20" s="350"/>
      <c r="R20" s="351"/>
      <c r="S20" s="350"/>
      <c r="T20" s="351"/>
      <c r="U20" s="350"/>
      <c r="V20" s="351"/>
      <c r="W20" s="350"/>
      <c r="X20" s="349"/>
      <c r="Y20" s="350"/>
      <c r="Z20" s="349"/>
      <c r="AA20" s="350"/>
      <c r="AB20" s="349"/>
      <c r="AC20" s="350"/>
      <c r="AD20" s="349"/>
      <c r="AE20" s="350"/>
      <c r="AF20" s="349"/>
      <c r="AG20" s="419"/>
      <c r="AH20" s="349"/>
      <c r="AI20" s="350"/>
      <c r="AJ20" s="351"/>
      <c r="AK20" s="350"/>
      <c r="AL20" s="349"/>
      <c r="AM20" s="352"/>
      <c r="AN20" s="347"/>
      <c r="AO20" s="352"/>
      <c r="AP20" s="352"/>
      <c r="AQ20" s="352"/>
      <c r="AR20" s="352"/>
      <c r="AS20" s="352"/>
      <c r="AV20" s="352"/>
      <c r="AW20" s="352"/>
      <c r="BD20" s="386"/>
      <c r="BE20" s="561"/>
      <c r="BF20" s="100"/>
      <c r="BG20" s="100"/>
      <c r="BH20" s="244"/>
      <c r="BI20" s="100"/>
      <c r="BJ20" s="244"/>
      <c r="BK20" s="100"/>
      <c r="BL20" s="244"/>
      <c r="BM20" s="100"/>
      <c r="BN20" s="244"/>
      <c r="BO20" s="100"/>
      <c r="BP20" s="244"/>
      <c r="BQ20" s="100"/>
      <c r="BR20" s="244"/>
      <c r="BS20" s="100"/>
      <c r="BT20" s="244"/>
      <c r="BU20" s="100"/>
      <c r="BV20" s="244"/>
      <c r="BW20" s="100"/>
      <c r="BX20" s="244"/>
      <c r="BY20" s="100"/>
      <c r="BZ20" s="244"/>
      <c r="CA20" s="100"/>
      <c r="CB20" s="244"/>
      <c r="CC20" s="100"/>
      <c r="CD20" s="244"/>
      <c r="CE20" s="100"/>
      <c r="CF20" s="244"/>
      <c r="CG20" s="100"/>
      <c r="CH20" s="244"/>
      <c r="CI20" s="100"/>
      <c r="CJ20" s="244"/>
      <c r="CK20" s="100"/>
      <c r="CL20" s="244"/>
      <c r="CM20" s="100"/>
      <c r="CN20" s="244"/>
      <c r="CO20" s="100"/>
      <c r="CP20" s="244"/>
      <c r="CQ20" s="100"/>
      <c r="CR20" s="244"/>
      <c r="CS20" s="100"/>
      <c r="CT20" s="244"/>
      <c r="CU20" s="100"/>
      <c r="CV20" s="244"/>
      <c r="CW20" s="100"/>
      <c r="CX20" s="244"/>
      <c r="CY20" s="100"/>
      <c r="CZ20" s="244"/>
      <c r="DA20" s="100"/>
      <c r="DB20" s="244"/>
    </row>
    <row r="21" spans="3:106" ht="18" customHeight="1">
      <c r="C21" s="324" t="s">
        <v>550</v>
      </c>
      <c r="D21" s="807" t="s">
        <v>309</v>
      </c>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9"/>
      <c r="BD21" s="300" t="s">
        <v>469</v>
      </c>
      <c r="BE21" s="297" t="s">
        <v>421</v>
      </c>
      <c r="BF21" s="100"/>
      <c r="BG21" s="100" t="str">
        <f>IF(OR(ISBLANK(F10),ISBLANK(F9)),"N/A",IF(BG17&gt;=BG19,"ok","&lt;&gt;"))</f>
        <v>N/A</v>
      </c>
      <c r="BH21" s="100"/>
      <c r="BI21" s="100" t="str">
        <f>IF(OR(ISBLANK(H10),ISBLANK(H9)),"N/A",IF(BI17&gt;=BI19,"ok","&lt;&gt;"))</f>
        <v>N/A</v>
      </c>
      <c r="BJ21" s="100"/>
      <c r="BK21" s="100" t="str">
        <f>IF(OR(ISBLANK(J10),ISBLANK(J9)),"N/A",IF(BK17&gt;=BK19,"ok","&lt;&gt;"))</f>
        <v>N/A</v>
      </c>
      <c r="BL21" s="100"/>
      <c r="BM21" s="100" t="str">
        <f>IF(OR(ISBLANK(L10),ISBLANK(L9)),"N/A",IF(BM17&gt;=BM19,"ok","&lt;&gt;"))</f>
        <v>N/A</v>
      </c>
      <c r="BN21" s="100"/>
      <c r="BO21" s="100" t="str">
        <f>IF(OR(ISBLANK(N10),ISBLANK(N9)),"N/A",IF(BO17&gt;=BO19,"ok","&lt;&gt;"))</f>
        <v>N/A</v>
      </c>
      <c r="BP21" s="100"/>
      <c r="BQ21" s="100" t="str">
        <f>IF(OR(ISBLANK(P10),ISBLANK(P9)),"N/A",IF(BQ17&gt;=BQ19,"ok","&lt;&gt;"))</f>
        <v>N/A</v>
      </c>
      <c r="BR21" s="100"/>
      <c r="BS21" s="100" t="str">
        <f>IF(OR(ISBLANK(R10),ISBLANK(R9)),"N/A",IF(BS17&gt;=BS19,"ok","&lt;&gt;"))</f>
        <v>N/A</v>
      </c>
      <c r="BT21" s="100"/>
      <c r="BU21" s="100" t="str">
        <f>IF(OR(ISBLANK(T10),ISBLANK(T9)),"N/A",IF(BU17&gt;=BU19,"ok","&lt;&gt;"))</f>
        <v>N/A</v>
      </c>
      <c r="BV21" s="100"/>
      <c r="BW21" s="100" t="str">
        <f>IF(OR(ISBLANK(V10),ISBLANK(V9)),"N/A",IF(BW17&gt;=BW19,"ok","&lt;&gt;"))</f>
        <v>N/A</v>
      </c>
      <c r="BX21" s="100"/>
      <c r="BY21" s="100" t="str">
        <f>IF(OR(ISBLANK(X10),ISBLANK(X9)),"N/A",IF(BY17&gt;=BY19,"ok","&lt;&gt;"))</f>
        <v>N/A</v>
      </c>
      <c r="BZ21" s="100"/>
      <c r="CA21" s="100" t="str">
        <f>IF(OR(ISBLANK(Z10),ISBLANK(Z9)),"N/A",IF(CA17&gt;=CA19,"ok","&lt;&gt;"))</f>
        <v>N/A</v>
      </c>
      <c r="CB21" s="100"/>
      <c r="CC21" s="100" t="str">
        <f>IF(OR(ISBLANK(AB10),ISBLANK(AB9)),"N/A",IF(CC17&gt;=CC19,"ok","&lt;&gt;"))</f>
        <v>N/A</v>
      </c>
      <c r="CD21" s="100"/>
      <c r="CE21" s="100" t="str">
        <f>IF(OR(ISBLANK(AD10),ISBLANK(AD9)),"N/A",IF(CE17&gt;=CE19,"ok","&lt;&gt;"))</f>
        <v>N/A</v>
      </c>
      <c r="CF21" s="100"/>
      <c r="CG21" s="100" t="str">
        <f>IF(OR(ISBLANK(AF10),ISBLANK(AF9)),"N/A",IF(CG17&gt;=CG19,"ok","&lt;&gt;"))</f>
        <v>N/A</v>
      </c>
      <c r="CH21" s="100"/>
      <c r="CI21" s="100" t="str">
        <f>IF(OR(ISBLANK(AH10),ISBLANK(AH9)),"N/A",IF(CI17&gt;=CI19,"ok","&lt;&gt;"))</f>
        <v>N/A</v>
      </c>
      <c r="CJ21" s="100"/>
      <c r="CK21" s="100" t="str">
        <f>IF(OR(ISBLANK(AJ10),ISBLANK(AJ9)),"N/A",IF(CK17&gt;=CK19,"ok","&lt;&gt;"))</f>
        <v>N/A</v>
      </c>
      <c r="CL21" s="100"/>
      <c r="CM21" s="100" t="str">
        <f>IF(OR(ISBLANK(AL10),ISBLANK(AL9)),"N/A",IF(CM17&gt;=CM19,"ok","&lt;&gt;"))</f>
        <v>N/A</v>
      </c>
      <c r="CN21" s="100"/>
      <c r="CO21" s="100" t="str">
        <f>IF(OR(ISBLANK(AN10),ISBLANK(AN9)),"N/A",IF(CO17&gt;=CO19,"ok","&lt;&gt;"))</f>
        <v>N/A</v>
      </c>
      <c r="CP21" s="100"/>
      <c r="CQ21" s="100" t="str">
        <f>IF(OR(ISBLANK(AP10),ISBLANK(AP9)),"N/A",IF(CQ17&gt;=CQ19,"ok","&lt;&gt;"))</f>
        <v>N/A</v>
      </c>
      <c r="CR21" s="100"/>
      <c r="CS21" s="100" t="str">
        <f>IF(OR(ISBLANK(AR10),ISBLANK(AR9)),"N/A",IF(CS17&gt;=CS19,"ok","&lt;&gt;"))</f>
        <v>N/A</v>
      </c>
      <c r="CT21" s="100"/>
      <c r="CU21" s="100" t="str">
        <f>IF(OR(ISBLANK(AT10),ISBLANK(AT9)),"N/A",IF(CU17&gt;=CU19,"ok","&lt;&gt;"))</f>
        <v>N/A</v>
      </c>
      <c r="CV21" s="100"/>
      <c r="CW21" s="100" t="str">
        <f>IF(OR(ISBLANK(AV10),ISBLANK(AV9)),"N/A",IF(CW17&gt;=CW19,"ok","&lt;&gt;"))</f>
        <v>N/A</v>
      </c>
      <c r="CX21" s="100"/>
      <c r="CY21" s="100" t="str">
        <f>IF(OR(ISBLANK(AX10),ISBLANK(AX9)),"N/A",IF(CY17&gt;=CY19,"ok","&lt;&gt;"))</f>
        <v>N/A</v>
      </c>
      <c r="CZ21" s="100"/>
      <c r="DA21" s="100" t="str">
        <f>IF(OR(ISBLANK(AZ10),ISBLANK(AZ9)),"N/A",IF(DA17&gt;=DA19,"ok","&lt;&gt;"))</f>
        <v>N/A</v>
      </c>
      <c r="DB21" s="100"/>
    </row>
    <row r="22" spans="3:106" ht="18" customHeight="1">
      <c r="C22" s="580"/>
      <c r="D22" s="803"/>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5"/>
      <c r="BD22" s="84">
        <v>5</v>
      </c>
      <c r="BE22" s="248" t="s">
        <v>438</v>
      </c>
      <c r="BF22" s="84" t="s">
        <v>541</v>
      </c>
      <c r="BG22" s="649">
        <f>F12</f>
        <v>0</v>
      </c>
      <c r="BH22" s="100"/>
      <c r="BI22" s="649">
        <f>H12</f>
        <v>0</v>
      </c>
      <c r="BJ22" s="100"/>
      <c r="BK22" s="649">
        <f>J12</f>
        <v>0</v>
      </c>
      <c r="BL22" s="100"/>
      <c r="BM22" s="649">
        <f>L12</f>
        <v>0</v>
      </c>
      <c r="BN22" s="100"/>
      <c r="BO22" s="649">
        <f>N12</f>
        <v>0</v>
      </c>
      <c r="BP22" s="100"/>
      <c r="BQ22" s="649">
        <f>P12</f>
        <v>0</v>
      </c>
      <c r="BR22" s="100"/>
      <c r="BS22" s="649">
        <f>R12</f>
        <v>0</v>
      </c>
      <c r="BT22" s="100"/>
      <c r="BU22" s="649">
        <f>T12</f>
        <v>0</v>
      </c>
      <c r="BV22" s="100"/>
      <c r="BW22" s="649">
        <f>V12</f>
        <v>0</v>
      </c>
      <c r="BX22" s="100"/>
      <c r="BY22" s="649">
        <f>X12</f>
        <v>0</v>
      </c>
      <c r="BZ22" s="100"/>
      <c r="CA22" s="649">
        <f>Z12</f>
        <v>0</v>
      </c>
      <c r="CB22" s="100"/>
      <c r="CC22" s="649">
        <f>AB12</f>
        <v>0</v>
      </c>
      <c r="CD22" s="100"/>
      <c r="CE22" s="649">
        <f>AD12</f>
        <v>0</v>
      </c>
      <c r="CF22" s="100"/>
      <c r="CG22" s="649">
        <f>AF12</f>
        <v>0</v>
      </c>
      <c r="CH22" s="100"/>
      <c r="CI22" s="649">
        <f>AH12</f>
        <v>0</v>
      </c>
      <c r="CJ22" s="100"/>
      <c r="CK22" s="649">
        <f>AJ12</f>
        <v>0</v>
      </c>
      <c r="CL22" s="100"/>
      <c r="CM22" s="649">
        <f>AL12</f>
        <v>0</v>
      </c>
      <c r="CN22" s="100"/>
      <c r="CO22" s="649">
        <f>AN12</f>
        <v>0</v>
      </c>
      <c r="CP22" s="100"/>
      <c r="CQ22" s="649">
        <f>AP12</f>
        <v>0</v>
      </c>
      <c r="CR22" s="100"/>
      <c r="CS22" s="649">
        <f>AR12</f>
        <v>0</v>
      </c>
      <c r="CT22" s="100"/>
      <c r="CU22" s="649">
        <f>AT12</f>
        <v>0</v>
      </c>
      <c r="CV22" s="100"/>
      <c r="CW22" s="649">
        <f>AV12</f>
        <v>0</v>
      </c>
      <c r="CX22" s="100"/>
      <c r="CY22" s="649">
        <f>AX12</f>
        <v>0</v>
      </c>
      <c r="CZ22" s="100"/>
      <c r="DA22" s="649">
        <f>AZ12</f>
        <v>0</v>
      </c>
      <c r="DB22" s="100"/>
    </row>
    <row r="23" spans="3:106" ht="18" customHeight="1">
      <c r="C23" s="580"/>
      <c r="D23" s="797"/>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798"/>
      <c r="AY23" s="798"/>
      <c r="AZ23" s="798"/>
      <c r="BA23" s="798"/>
      <c r="BB23" s="799"/>
      <c r="BD23" s="325" t="s">
        <v>469</v>
      </c>
      <c r="BE23" s="326" t="s">
        <v>404</v>
      </c>
      <c r="BF23" s="98"/>
      <c r="BG23" s="98" t="str">
        <f>IF(OR(ISBLANK(F12),ISBLANK(F9),ISBLANK(F11)),"N/A",IF(BG22=100-F11-F9,"ok","&lt;&gt;"))</f>
        <v>N/A</v>
      </c>
      <c r="BH23" s="98"/>
      <c r="BI23" s="98" t="str">
        <f>IF(OR(ISBLANK(H12),ISBLANK(H9),ISBLANK(H11)),"N/A",IF(BI22=100-H11-H9,"ok","&lt;&gt;"))</f>
        <v>N/A</v>
      </c>
      <c r="BJ23" s="98"/>
      <c r="BK23" s="98" t="str">
        <f>IF(OR(ISBLANK(J12),ISBLANK(J9),ISBLANK(J11)),"N/A",IF(BK22=100-J11-J9,"ok","&lt;&gt;"))</f>
        <v>N/A</v>
      </c>
      <c r="BL23" s="98"/>
      <c r="BM23" s="98" t="str">
        <f>IF(OR(ISBLANK(L12),ISBLANK(L9),ISBLANK(L11)),"N/A",IF(BM22=100-L11-L9,"ok","&lt;&gt;"))</f>
        <v>N/A</v>
      </c>
      <c r="BN23" s="98"/>
      <c r="BO23" s="98" t="str">
        <f>IF(OR(ISBLANK(N12),ISBLANK(N9),ISBLANK(N11)),"N/A",IF(BO22=100-N11-N9,"ok","&lt;&gt;"))</f>
        <v>N/A</v>
      </c>
      <c r="BP23" s="98"/>
      <c r="BQ23" s="98" t="str">
        <f>IF(OR(ISBLANK(P12),ISBLANK(P9),ISBLANK(P11)),"N/A",IF(BQ22=100-P11-P9,"ok","&lt;&gt;"))</f>
        <v>N/A</v>
      </c>
      <c r="BR23" s="98"/>
      <c r="BS23" s="98" t="str">
        <f>IF(OR(ISBLANK(R12),ISBLANK(R9),ISBLANK(R11)),"N/A",IF(BS22=100-R11-R9,"ok","&lt;&gt;"))</f>
        <v>N/A</v>
      </c>
      <c r="BT23" s="98"/>
      <c r="BU23" s="98" t="str">
        <f>IF(OR(ISBLANK(T12),ISBLANK(T9),ISBLANK(T11)),"N/A",IF(BU22=100-T11-T9,"ok","&lt;&gt;"))</f>
        <v>N/A</v>
      </c>
      <c r="BV23" s="98"/>
      <c r="BW23" s="98" t="str">
        <f>IF(OR(ISBLANK(V12),ISBLANK(V9),ISBLANK(V11)),"N/A",IF(BW22=100-V11-V9,"ok","&lt;&gt;"))</f>
        <v>N/A</v>
      </c>
      <c r="BX23" s="98"/>
      <c r="BY23" s="98" t="str">
        <f>IF(OR(ISBLANK(X12),ISBLANK(X9),ISBLANK(X11)),"N/A",IF(BY22=100-X11-X9,"ok","&lt;&gt;"))</f>
        <v>N/A</v>
      </c>
      <c r="BZ23" s="98"/>
      <c r="CA23" s="98" t="str">
        <f>IF(OR(ISBLANK(Z12),ISBLANK(Z9),ISBLANK(Z11)),"N/A",IF(CA22=100-Z11-Z9,"ok","&lt;&gt;"))</f>
        <v>N/A</v>
      </c>
      <c r="CB23" s="98"/>
      <c r="CC23" s="98" t="str">
        <f>IF(OR(ISBLANK(AB12),ISBLANK(AB9),ISBLANK(AB11)),"N/A",IF(CC22=100-AB11-AB9,"ok","&lt;&gt;"))</f>
        <v>N/A</v>
      </c>
      <c r="CD23" s="98"/>
      <c r="CE23" s="98" t="str">
        <f>IF(OR(ISBLANK(AD12),ISBLANK(AD9),ISBLANK(AD11)),"N/A",IF(CE22=100-AD11-AD9,"ok","&lt;&gt;"))</f>
        <v>N/A</v>
      </c>
      <c r="CF23" s="98"/>
      <c r="CG23" s="98" t="str">
        <f>IF(OR(ISBLANK(AF12),ISBLANK(AF9),ISBLANK(AF11)),"N/A",IF(CG22=100-AF11-AF9,"ok","&lt;&gt;"))</f>
        <v>N/A</v>
      </c>
      <c r="CH23" s="98"/>
      <c r="CI23" s="98" t="str">
        <f>IF(OR(ISBLANK(AH12),ISBLANK(AH9),ISBLANK(AH11)),"N/A",IF(CI22=100-AH11-AH9,"ok","&lt;&gt;"))</f>
        <v>N/A</v>
      </c>
      <c r="CJ23" s="98"/>
      <c r="CK23" s="98" t="str">
        <f>IF(OR(ISBLANK(AJ12),ISBLANK(AJ9),ISBLANK(AJ11)),"N/A",IF(CK22=100-AJ11-AJ9,"ok","&lt;&gt;"))</f>
        <v>N/A</v>
      </c>
      <c r="CL23" s="98"/>
      <c r="CM23" s="98" t="str">
        <f>IF(OR(ISBLANK(AL12),ISBLANK(AL9),ISBLANK(AL11)),"N/A",IF(CM22=100-AL11-AL9,"ok","&lt;&gt;"))</f>
        <v>N/A</v>
      </c>
      <c r="CN23" s="98"/>
      <c r="CO23" s="98" t="str">
        <f>IF(OR(ISBLANK(AN12),ISBLANK(AN9),ISBLANK(AN11)),"N/A",IF(CO22=100-AN11-AN9,"ok","&lt;&gt;"))</f>
        <v>N/A</v>
      </c>
      <c r="CP23" s="98"/>
      <c r="CQ23" s="98" t="str">
        <f>IF(OR(ISBLANK(AP12),ISBLANK(AP9),ISBLANK(AP11)),"N/A",IF(CQ22=100-AP11-AP9,"ok","&lt;&gt;"))</f>
        <v>N/A</v>
      </c>
      <c r="CR23" s="98"/>
      <c r="CS23" s="98" t="str">
        <f>IF(OR(ISBLANK(AR12),ISBLANK(AR9),ISBLANK(AR11)),"N/A",IF(CS22=100-AR11-AR9,"ok","&lt;&gt;"))</f>
        <v>N/A</v>
      </c>
      <c r="CT23" s="98"/>
      <c r="CU23" s="98" t="str">
        <f>IF(OR(ISBLANK(AT12),ISBLANK(AT9),ISBLANK(AT11)),"N/A",IF(CU22=100-AT11-AT9,"ok","&lt;&gt;"))</f>
        <v>N/A</v>
      </c>
      <c r="CV23" s="98"/>
      <c r="CW23" s="98" t="str">
        <f>IF(OR(ISBLANK(AV12),ISBLANK(AV9),ISBLANK(AV11)),"N/A",IF(CW22=100-AV11-AV9,"ok","&lt;&gt;"))</f>
        <v>N/A</v>
      </c>
      <c r="CX23" s="98"/>
      <c r="CY23" s="98" t="str">
        <f>IF(OR(ISBLANK(AX12),ISBLANK(AX9),ISBLANK(AX11)),"N/A",IF(CY22=100-AX11-AX9,"ok","&lt;&gt;"))</f>
        <v>N/A</v>
      </c>
      <c r="CZ23" s="98"/>
      <c r="DA23" s="98" t="str">
        <f>IF(OR(ISBLANK(AZ12),ISBLANK(AZ9),ISBLANK(AZ11)),"N/A",IF(DA22=100-AZ11-AZ9,"ok","&lt;&gt;"))</f>
        <v>N/A</v>
      </c>
      <c r="DB23" s="98"/>
    </row>
    <row r="24" spans="3:102" ht="18" customHeight="1">
      <c r="C24" s="580"/>
      <c r="D24" s="797"/>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798"/>
      <c r="BA24" s="798"/>
      <c r="BB24" s="799"/>
      <c r="BD24" s="327" t="s">
        <v>429</v>
      </c>
      <c r="BE24" s="328" t="s">
        <v>430</v>
      </c>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422"/>
      <c r="CS24" s="99"/>
      <c r="CT24" s="99"/>
      <c r="CU24" s="99"/>
      <c r="CV24" s="99"/>
      <c r="CW24" s="99"/>
      <c r="CX24" s="422"/>
    </row>
    <row r="25" spans="3:102" ht="18" customHeight="1">
      <c r="C25" s="580"/>
      <c r="D25" s="797"/>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8"/>
      <c r="AZ25" s="798"/>
      <c r="BA25" s="798"/>
      <c r="BB25" s="799"/>
      <c r="BD25" s="327" t="s">
        <v>431</v>
      </c>
      <c r="BE25" s="328" t="s">
        <v>432</v>
      </c>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48"/>
      <c r="CO25" s="448"/>
      <c r="CP25" s="448"/>
      <c r="CQ25" s="448"/>
      <c r="CR25" s="448"/>
      <c r="CS25" s="448"/>
      <c r="CT25" s="448"/>
      <c r="CU25" s="448"/>
      <c r="CV25" s="448"/>
      <c r="CW25" s="448"/>
      <c r="CX25" s="448"/>
    </row>
    <row r="26" spans="3:102" ht="18" customHeight="1">
      <c r="C26" s="580"/>
      <c r="D26" s="797"/>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798"/>
      <c r="AZ26" s="798"/>
      <c r="BA26" s="798"/>
      <c r="BB26" s="799"/>
      <c r="BD26" s="329" t="s">
        <v>434</v>
      </c>
      <c r="BE26" s="328" t="s">
        <v>436</v>
      </c>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c r="CO26" s="448"/>
      <c r="CP26" s="448"/>
      <c r="CQ26" s="448"/>
      <c r="CR26" s="448"/>
      <c r="CS26" s="448"/>
      <c r="CT26" s="448"/>
      <c r="CU26" s="448"/>
      <c r="CV26" s="448"/>
      <c r="CW26" s="448"/>
      <c r="CX26" s="448"/>
    </row>
    <row r="27" spans="3:102" ht="18" customHeight="1">
      <c r="C27" s="580"/>
      <c r="D27" s="797"/>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8"/>
      <c r="AY27" s="798"/>
      <c r="AZ27" s="798"/>
      <c r="BA27" s="798"/>
      <c r="BB27" s="799"/>
      <c r="BD27" s="329" t="s">
        <v>433</v>
      </c>
      <c r="BE27" s="328" t="s">
        <v>395</v>
      </c>
      <c r="BF27" s="99"/>
      <c r="BG27" s="99"/>
      <c r="BH27" s="422"/>
      <c r="BI27" s="116"/>
      <c r="BJ27" s="422"/>
      <c r="BK27" s="116"/>
      <c r="BL27" s="422"/>
      <c r="BM27" s="116"/>
      <c r="BN27" s="422"/>
      <c r="BO27" s="116"/>
      <c r="BP27" s="422"/>
      <c r="BQ27" s="116"/>
      <c r="BR27" s="422"/>
      <c r="BS27" s="116"/>
      <c r="BT27" s="422"/>
      <c r="BU27" s="116"/>
      <c r="BV27" s="422"/>
      <c r="BW27" s="99"/>
      <c r="BX27" s="422"/>
      <c r="BY27" s="99"/>
      <c r="BZ27" s="422"/>
      <c r="CA27" s="99"/>
      <c r="CB27" s="422"/>
      <c r="CC27" s="99"/>
      <c r="CD27" s="422"/>
      <c r="CE27" s="99"/>
      <c r="CF27" s="422"/>
      <c r="CG27" s="99"/>
      <c r="CH27" s="422"/>
      <c r="CI27" s="116"/>
      <c r="CJ27" s="422"/>
      <c r="CK27" s="99"/>
      <c r="CL27" s="422"/>
      <c r="CM27" s="99"/>
      <c r="CN27" s="422"/>
      <c r="CO27" s="99"/>
      <c r="CP27" s="422"/>
      <c r="CQ27" s="99"/>
      <c r="CR27" s="422"/>
      <c r="CS27" s="99"/>
      <c r="CT27" s="422"/>
      <c r="CU27" s="99"/>
      <c r="CV27" s="422"/>
      <c r="CW27" s="99"/>
      <c r="CX27" s="422"/>
    </row>
    <row r="28" spans="3:102" ht="18" customHeight="1">
      <c r="C28" s="580"/>
      <c r="D28" s="797"/>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798"/>
      <c r="AY28" s="798"/>
      <c r="AZ28" s="798"/>
      <c r="BA28" s="798"/>
      <c r="BB28" s="799"/>
      <c r="BF28" s="99"/>
      <c r="BG28" s="99"/>
      <c r="BH28" s="422"/>
      <c r="BI28" s="116"/>
      <c r="BJ28" s="422"/>
      <c r="BK28" s="116"/>
      <c r="BL28" s="422"/>
      <c r="BM28" s="116"/>
      <c r="BN28" s="422"/>
      <c r="BO28" s="116"/>
      <c r="BP28" s="422"/>
      <c r="BQ28" s="116"/>
      <c r="BR28" s="422"/>
      <c r="BS28" s="116"/>
      <c r="BT28" s="422"/>
      <c r="BU28" s="116"/>
      <c r="BV28" s="422"/>
      <c r="BW28" s="99"/>
      <c r="BX28" s="422"/>
      <c r="BY28" s="99"/>
      <c r="BZ28" s="422"/>
      <c r="CA28" s="99"/>
      <c r="CB28" s="422"/>
      <c r="CC28" s="99"/>
      <c r="CD28" s="422"/>
      <c r="CE28" s="99"/>
      <c r="CF28" s="422"/>
      <c r="CG28" s="99"/>
      <c r="CH28" s="422"/>
      <c r="CI28" s="116"/>
      <c r="CJ28" s="422"/>
      <c r="CK28" s="99"/>
      <c r="CL28" s="422"/>
      <c r="CM28" s="99"/>
      <c r="CN28" s="422"/>
      <c r="CO28" s="99"/>
      <c r="CP28" s="422"/>
      <c r="CQ28" s="99"/>
      <c r="CR28" s="422"/>
      <c r="CS28" s="99"/>
      <c r="CT28" s="422"/>
      <c r="CU28" s="99"/>
      <c r="CV28" s="422"/>
      <c r="CW28" s="99"/>
      <c r="CX28" s="422"/>
    </row>
    <row r="29" spans="3:102" ht="18" customHeight="1">
      <c r="C29" s="580"/>
      <c r="D29" s="797"/>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8"/>
      <c r="AY29" s="798"/>
      <c r="AZ29" s="798"/>
      <c r="BA29" s="798"/>
      <c r="BB29" s="799"/>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row>
    <row r="30" spans="3:102" ht="18" customHeight="1">
      <c r="C30" s="580"/>
      <c r="D30" s="797"/>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Y30" s="798"/>
      <c r="AZ30" s="798"/>
      <c r="BA30" s="798"/>
      <c r="BB30" s="799"/>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row>
    <row r="31" spans="3:57" ht="18" customHeight="1">
      <c r="C31" s="580"/>
      <c r="D31" s="797"/>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98"/>
      <c r="AN31" s="798"/>
      <c r="AO31" s="798"/>
      <c r="AP31" s="798"/>
      <c r="AQ31" s="798"/>
      <c r="AR31" s="798"/>
      <c r="AS31" s="798"/>
      <c r="AT31" s="798"/>
      <c r="AU31" s="798"/>
      <c r="AV31" s="798"/>
      <c r="AW31" s="798"/>
      <c r="AX31" s="798"/>
      <c r="AY31" s="798"/>
      <c r="AZ31" s="798"/>
      <c r="BA31" s="798"/>
      <c r="BB31" s="799"/>
      <c r="BE31" s="330"/>
    </row>
    <row r="32" spans="3:54" ht="18" customHeight="1">
      <c r="C32" s="580"/>
      <c r="D32" s="797"/>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798"/>
      <c r="AY32" s="798"/>
      <c r="AZ32" s="798"/>
      <c r="BA32" s="798"/>
      <c r="BB32" s="799"/>
    </row>
    <row r="33" spans="3:54" ht="18" customHeight="1">
      <c r="C33" s="580"/>
      <c r="D33" s="797"/>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98"/>
      <c r="AR33" s="798"/>
      <c r="AS33" s="798"/>
      <c r="AT33" s="798"/>
      <c r="AU33" s="798"/>
      <c r="AV33" s="798"/>
      <c r="AW33" s="798"/>
      <c r="AX33" s="798"/>
      <c r="AY33" s="798"/>
      <c r="AZ33" s="798"/>
      <c r="BA33" s="798"/>
      <c r="BB33" s="799"/>
    </row>
    <row r="34" spans="3:54" ht="18" customHeight="1">
      <c r="C34" s="580"/>
      <c r="D34" s="797"/>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c r="AU34" s="798"/>
      <c r="AV34" s="798"/>
      <c r="AW34" s="798"/>
      <c r="AX34" s="798"/>
      <c r="AY34" s="798"/>
      <c r="AZ34" s="798"/>
      <c r="BA34" s="798"/>
      <c r="BB34" s="799"/>
    </row>
    <row r="35" spans="3:54" ht="18" customHeight="1">
      <c r="C35" s="580"/>
      <c r="D35" s="797"/>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798"/>
      <c r="AY35" s="798"/>
      <c r="AZ35" s="798"/>
      <c r="BA35" s="798"/>
      <c r="BB35" s="799"/>
    </row>
    <row r="36" spans="3:54" ht="18" customHeight="1">
      <c r="C36" s="580"/>
      <c r="D36" s="797"/>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8"/>
      <c r="AY36" s="798"/>
      <c r="AZ36" s="798"/>
      <c r="BA36" s="798"/>
      <c r="BB36" s="799"/>
    </row>
    <row r="37" spans="3:54" ht="18" customHeight="1">
      <c r="C37" s="580"/>
      <c r="D37" s="797"/>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AZ37" s="798"/>
      <c r="BA37" s="798"/>
      <c r="BB37" s="799"/>
    </row>
    <row r="38" spans="3:54" ht="18" customHeight="1">
      <c r="C38" s="580"/>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AZ38" s="798"/>
      <c r="BA38" s="798"/>
      <c r="BB38" s="799"/>
    </row>
    <row r="39" spans="3:54" ht="18" customHeight="1">
      <c r="C39" s="580"/>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AZ39" s="798"/>
      <c r="BA39" s="798"/>
      <c r="BB39" s="799"/>
    </row>
    <row r="40" spans="3:54" ht="18" customHeight="1">
      <c r="C40" s="580"/>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AZ40" s="798"/>
      <c r="BA40" s="798"/>
      <c r="BB40" s="799"/>
    </row>
    <row r="41" spans="3:54" ht="18" customHeight="1">
      <c r="C41" s="580"/>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8"/>
      <c r="AY41" s="798"/>
      <c r="AZ41" s="798"/>
      <c r="BA41" s="798"/>
      <c r="BB41" s="799"/>
    </row>
    <row r="42" spans="3:54" ht="18" customHeight="1">
      <c r="C42" s="590"/>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Y42" s="798"/>
      <c r="AZ42" s="798"/>
      <c r="BA42" s="798"/>
      <c r="BB42" s="799"/>
    </row>
    <row r="43" spans="3:54" ht="18" customHeight="1">
      <c r="C43" s="588"/>
      <c r="D43" s="800"/>
      <c r="E43" s="801"/>
      <c r="F43" s="801"/>
      <c r="G43" s="801"/>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c r="AL43" s="801"/>
      <c r="AM43" s="801"/>
      <c r="AN43" s="801"/>
      <c r="AO43" s="801"/>
      <c r="AP43" s="801"/>
      <c r="AQ43" s="801"/>
      <c r="AR43" s="801"/>
      <c r="AS43" s="801"/>
      <c r="AT43" s="801"/>
      <c r="AU43" s="801"/>
      <c r="AV43" s="801"/>
      <c r="AW43" s="801"/>
      <c r="AX43" s="801"/>
      <c r="AY43" s="801"/>
      <c r="AZ43" s="801"/>
      <c r="BA43" s="801"/>
      <c r="BB43" s="802"/>
    </row>
    <row r="44" spans="1:106" s="292" customFormat="1" ht="10.5" customHeight="1">
      <c r="A44" s="495"/>
      <c r="B44" s="432"/>
      <c r="C44" s="447"/>
      <c r="D44" s="447"/>
      <c r="E44" s="193"/>
      <c r="F44" s="218"/>
      <c r="G44" s="218"/>
      <c r="H44" s="279"/>
      <c r="I44" s="280"/>
      <c r="J44" s="280"/>
      <c r="K44" s="280"/>
      <c r="L44" s="280"/>
      <c r="M44" s="280"/>
      <c r="N44" s="280"/>
      <c r="O44" s="280"/>
      <c r="P44" s="281"/>
      <c r="Q44" s="280"/>
      <c r="R44" s="281"/>
      <c r="S44" s="280"/>
      <c r="T44" s="281"/>
      <c r="U44" s="280"/>
      <c r="V44" s="281"/>
      <c r="W44" s="280"/>
      <c r="X44" s="279"/>
      <c r="Y44" s="280"/>
      <c r="Z44" s="279"/>
      <c r="AA44" s="280"/>
      <c r="AB44" s="279"/>
      <c r="AC44" s="280"/>
      <c r="AD44" s="279"/>
      <c r="AE44" s="280"/>
      <c r="AF44" s="279"/>
      <c r="AG44" s="496"/>
      <c r="AH44" s="279"/>
      <c r="AI44" s="280"/>
      <c r="AJ44" s="281"/>
      <c r="AK44" s="280"/>
      <c r="AL44" s="279"/>
      <c r="AM44" s="280"/>
      <c r="AN44" s="279"/>
      <c r="AO44" s="352"/>
      <c r="AP44" s="352"/>
      <c r="AQ44" s="352"/>
      <c r="AR44" s="352"/>
      <c r="AS44" s="352"/>
      <c r="AT44" s="347"/>
      <c r="AU44" s="352"/>
      <c r="AV44" s="352"/>
      <c r="AW44" s="352"/>
      <c r="AX44" s="347"/>
      <c r="AY44" s="352"/>
      <c r="AZ44" s="347"/>
      <c r="BA44" s="352"/>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648"/>
      <c r="CZ44" s="648"/>
      <c r="DA44" s="648"/>
      <c r="DB44" s="648"/>
    </row>
    <row r="45" spans="3:7" ht="12.75">
      <c r="C45" s="215"/>
      <c r="D45" s="215"/>
      <c r="F45" s="218"/>
      <c r="G45" s="218"/>
    </row>
    <row r="46" spans="3:4" ht="12.75">
      <c r="C46" s="215"/>
      <c r="D46" s="215"/>
    </row>
    <row r="47" spans="3:4" ht="12.75">
      <c r="C47" s="215"/>
      <c r="D47" s="215"/>
    </row>
    <row r="48" spans="3:4" ht="12.75">
      <c r="C48" s="215"/>
      <c r="D48" s="215"/>
    </row>
    <row r="49" spans="3:4" ht="12.75">
      <c r="C49" s="215"/>
      <c r="D49" s="215"/>
    </row>
    <row r="50" spans="3:4" ht="12.75">
      <c r="C50" s="215"/>
      <c r="D50" s="215"/>
    </row>
    <row r="51" spans="3:4" ht="12.75">
      <c r="C51" s="215"/>
      <c r="D51" s="215"/>
    </row>
    <row r="52" spans="3:4" ht="12.75">
      <c r="C52" s="215"/>
      <c r="D52" s="215"/>
    </row>
    <row r="53" spans="3:4" ht="12.75">
      <c r="C53" s="215"/>
      <c r="D53" s="215"/>
    </row>
    <row r="54" spans="3:4" ht="12.75">
      <c r="C54" s="215"/>
      <c r="D54" s="215"/>
    </row>
    <row r="55" spans="3:4" ht="12.75">
      <c r="C55" s="215"/>
      <c r="D55" s="215"/>
    </row>
    <row r="56" spans="3:4" ht="12.75">
      <c r="C56" s="215"/>
      <c r="D56" s="215"/>
    </row>
    <row r="57" spans="3:4" ht="12.75">
      <c r="C57" s="215"/>
      <c r="D57" s="215"/>
    </row>
    <row r="58" spans="3:4" ht="12.75">
      <c r="C58" s="215"/>
      <c r="D58" s="215"/>
    </row>
    <row r="59" spans="3:4" ht="12.75">
      <c r="C59" s="215"/>
      <c r="D59" s="215"/>
    </row>
    <row r="60" spans="3:4" ht="12.75">
      <c r="C60" s="215"/>
      <c r="D60" s="215"/>
    </row>
    <row r="61" spans="3:4" ht="12.75">
      <c r="C61" s="215"/>
      <c r="D61" s="215"/>
    </row>
    <row r="62" spans="3:4" ht="12.75">
      <c r="C62" s="215"/>
      <c r="D62" s="215"/>
    </row>
    <row r="63" spans="3:4" ht="12.75">
      <c r="C63" s="215"/>
      <c r="D63" s="215"/>
    </row>
    <row r="64" spans="3:4" ht="12.75">
      <c r="C64" s="215"/>
      <c r="D64" s="215"/>
    </row>
    <row r="65" spans="3:4" ht="12.75">
      <c r="C65" s="215"/>
      <c r="D65" s="215"/>
    </row>
    <row r="66" spans="3:4" ht="12.75">
      <c r="C66" s="215"/>
      <c r="D66" s="215"/>
    </row>
    <row r="67" spans="3:4" ht="12.75">
      <c r="C67" s="215"/>
      <c r="D67" s="215"/>
    </row>
    <row r="68" spans="3:4" ht="12.75">
      <c r="C68" s="215"/>
      <c r="D68" s="215"/>
    </row>
    <row r="69" spans="3:4" ht="12.75">
      <c r="C69" s="215"/>
      <c r="D69" s="215"/>
    </row>
    <row r="70" spans="3:4" ht="12.75">
      <c r="C70" s="215"/>
      <c r="D70" s="215"/>
    </row>
    <row r="71" spans="3:4" ht="12.75">
      <c r="C71" s="215"/>
      <c r="D71" s="215"/>
    </row>
    <row r="72" spans="3:4" ht="12.75">
      <c r="C72" s="215"/>
      <c r="D72" s="215"/>
    </row>
    <row r="73" spans="3:4" ht="12.75">
      <c r="C73" s="215"/>
      <c r="D73" s="215"/>
    </row>
  </sheetData>
  <sheetProtection sheet="1" objects="1" scenarios="1" formatCells="0" formatColumns="0" formatRows="0" insertColumns="0"/>
  <mergeCells count="27">
    <mergeCell ref="D21:BB21"/>
    <mergeCell ref="D32:BB32"/>
    <mergeCell ref="D33:BB33"/>
    <mergeCell ref="C5:AN5"/>
    <mergeCell ref="D22:BB22"/>
    <mergeCell ref="D23:BB23"/>
    <mergeCell ref="D24:BB24"/>
    <mergeCell ref="D15:BB15"/>
    <mergeCell ref="D17:BB17"/>
    <mergeCell ref="D16:BB16"/>
    <mergeCell ref="D43:BB43"/>
    <mergeCell ref="D36:BB36"/>
    <mergeCell ref="D37:BB37"/>
    <mergeCell ref="D38:BB38"/>
    <mergeCell ref="D39:BB39"/>
    <mergeCell ref="D40:BB40"/>
    <mergeCell ref="D41:BB41"/>
    <mergeCell ref="D42:BB42"/>
    <mergeCell ref="D34:BB34"/>
    <mergeCell ref="D35:BB35"/>
    <mergeCell ref="D31:BB31"/>
    <mergeCell ref="D25:BB25"/>
    <mergeCell ref="D26:BB26"/>
    <mergeCell ref="D27:BB27"/>
    <mergeCell ref="D28:BB28"/>
    <mergeCell ref="D29:BB29"/>
    <mergeCell ref="D30:BB30"/>
  </mergeCells>
  <conditionalFormatting sqref="F12">
    <cfRule type="cellIs" priority="33" dxfId="366" operator="greaterThan" stopIfTrue="1">
      <formula>100-F9-F11+0.1</formula>
    </cfRule>
  </conditionalFormatting>
  <conditionalFormatting sqref="H12">
    <cfRule type="cellIs" priority="32" dxfId="366" operator="greaterThan" stopIfTrue="1">
      <formula>100-H9-H11+0.1</formula>
    </cfRule>
  </conditionalFormatting>
  <conditionalFormatting sqref="J12">
    <cfRule type="cellIs" priority="31" dxfId="366" operator="greaterThan" stopIfTrue="1">
      <formula>100-J9-J11+0.1</formula>
    </cfRule>
  </conditionalFormatting>
  <conditionalFormatting sqref="L12">
    <cfRule type="cellIs" priority="30" dxfId="366" operator="greaterThan" stopIfTrue="1">
      <formula>100-L9-L11+0.1</formula>
    </cfRule>
  </conditionalFormatting>
  <conditionalFormatting sqref="N12">
    <cfRule type="cellIs" priority="29" dxfId="366" operator="greaterThan" stopIfTrue="1">
      <formula>100-N9-N11+0.1</formula>
    </cfRule>
  </conditionalFormatting>
  <conditionalFormatting sqref="P12">
    <cfRule type="cellIs" priority="28" dxfId="366" operator="greaterThan" stopIfTrue="1">
      <formula>100-P9-P11+0.1</formula>
    </cfRule>
  </conditionalFormatting>
  <conditionalFormatting sqref="R12">
    <cfRule type="cellIs" priority="27" dxfId="366" operator="greaterThan" stopIfTrue="1">
      <formula>100-R9-R11+0.1</formula>
    </cfRule>
  </conditionalFormatting>
  <conditionalFormatting sqref="T12">
    <cfRule type="cellIs" priority="26" dxfId="366" operator="greaterThan" stopIfTrue="1">
      <formula>100-T9-T11+0.1</formula>
    </cfRule>
  </conditionalFormatting>
  <conditionalFormatting sqref="V12">
    <cfRule type="cellIs" priority="25" dxfId="366" operator="greaterThan" stopIfTrue="1">
      <formula>100-V9-V11+0.1</formula>
    </cfRule>
  </conditionalFormatting>
  <conditionalFormatting sqref="X12">
    <cfRule type="cellIs" priority="24" dxfId="366" operator="greaterThan" stopIfTrue="1">
      <formula>100-X9-X11+0.1</formula>
    </cfRule>
  </conditionalFormatting>
  <conditionalFormatting sqref="Z12">
    <cfRule type="cellIs" priority="23" dxfId="366" operator="greaterThan" stopIfTrue="1">
      <formula>100-Z9-Z11+0.1</formula>
    </cfRule>
  </conditionalFormatting>
  <conditionalFormatting sqref="AB12">
    <cfRule type="cellIs" priority="22" dxfId="366" operator="greaterThan" stopIfTrue="1">
      <formula>100-AB9-AB11+0.1</formula>
    </cfRule>
  </conditionalFormatting>
  <conditionalFormatting sqref="AD12">
    <cfRule type="cellIs" priority="21" dxfId="366" operator="greaterThan" stopIfTrue="1">
      <formula>100-AD9-AD11+0.1</formula>
    </cfRule>
  </conditionalFormatting>
  <conditionalFormatting sqref="AF12">
    <cfRule type="cellIs" priority="20" dxfId="366" operator="greaterThan" stopIfTrue="1">
      <formula>100-AF9-AF11+0.1</formula>
    </cfRule>
  </conditionalFormatting>
  <conditionalFormatting sqref="AH12">
    <cfRule type="cellIs" priority="19" dxfId="366" operator="greaterThan" stopIfTrue="1">
      <formula>100-AH9-AH11+0.1</formula>
    </cfRule>
  </conditionalFormatting>
  <conditionalFormatting sqref="AJ12">
    <cfRule type="cellIs" priority="18" dxfId="366" operator="greaterThan" stopIfTrue="1">
      <formula>100-AJ9-AJ11+0.1</formula>
    </cfRule>
  </conditionalFormatting>
  <conditionalFormatting sqref="AL12">
    <cfRule type="cellIs" priority="17" dxfId="366" operator="greaterThan" stopIfTrue="1">
      <formula>100-AL9-AL11+0.1</formula>
    </cfRule>
  </conditionalFormatting>
  <conditionalFormatting sqref="AN12">
    <cfRule type="cellIs" priority="16" dxfId="366" operator="greaterThan" stopIfTrue="1">
      <formula>100-AN9-AN11+0.1</formula>
    </cfRule>
  </conditionalFormatting>
  <conditionalFormatting sqref="AP12">
    <cfRule type="cellIs" priority="15" dxfId="366" operator="greaterThan" stopIfTrue="1">
      <formula>100-AP9-AP11+0.1</formula>
    </cfRule>
  </conditionalFormatting>
  <conditionalFormatting sqref="AR12">
    <cfRule type="cellIs" priority="14" dxfId="366" operator="greaterThan" stopIfTrue="1">
      <formula>100-AR9-AR11+0.1</formula>
    </cfRule>
  </conditionalFormatting>
  <conditionalFormatting sqref="AT12">
    <cfRule type="cellIs" priority="13" dxfId="366" operator="greaterThan" stopIfTrue="1">
      <formula>100-AT9-AT11+0.1</formula>
    </cfRule>
  </conditionalFormatting>
  <conditionalFormatting sqref="AZ12">
    <cfRule type="cellIs" priority="12" dxfId="366" operator="greaterThan" stopIfTrue="1">
      <formula>100-AZ9-AZ11+0.1</formula>
    </cfRule>
  </conditionalFormatting>
  <conditionalFormatting sqref="BG20 BI20 BK20 BM20 BO20 BQ20 BS20 BU20 BW20 BY20 CA20 CC20 CE20 CG20 CI20 CK20 CM20 CO20 CQ20 CS20 CU20 CW20 CY20 DA20">
    <cfRule type="cellIs" priority="7" dxfId="366" operator="lessThan" stopIfTrue="1">
      <formula>BG21</formula>
    </cfRule>
  </conditionalFormatting>
  <conditionalFormatting sqref="BG23 BG21 BG18 BI23 BK23 BM23 BO23 BQ23 BS23 BU23 BW23 BY23 CA23 CC23 CE23 CG23 CI23 CK23 CM23 CO23 CQ23 CS23 CU23 CW23 CY23 DA23 BI21 BK21 BM21 BO21 BQ21 BS21 BU21 BW21 BY21 CA21 CC21 CE21 CG21 CI21 CK21 CM21 CO21 CQ21 CS21 CU21 CW21 CY21 DA21 BI18 BK18 BM18 BO18 BQ18 BS18 BU18 BW18 BY18 CA18 CC18 CE18 CG18 CI18 CK18 CM18 CO18 CQ18 CS18 CU18 CW18 CY18 DA18">
    <cfRule type="cellIs" priority="8" dxfId="366" operator="equal" stopIfTrue="1">
      <formula>"&lt;&gt;"</formula>
    </cfRule>
  </conditionalFormatting>
  <conditionalFormatting sqref="AV12">
    <cfRule type="cellIs" priority="6" dxfId="366" operator="greaterThan" stopIfTrue="1">
      <formula>100-AV9-AV11+0.1</formula>
    </cfRule>
  </conditionalFormatting>
  <conditionalFormatting sqref="AX12">
    <cfRule type="cellIs" priority="5" dxfId="366" operator="greaterThan" stopIfTrue="1">
      <formula>100-AX9-AX11+0.1</formula>
    </cfRule>
  </conditionalFormatting>
  <conditionalFormatting sqref="BK8:BK12 BI8:BI12 BM8:BM12 BO8:BO12 BQ8:BQ12 BS8:BS12 BU8:BU12 BW8:BW12 BY8:BY12 CA8:CA12 CC8:CC12 CE8:CE12 CG8:CG12 CI8:CI12 CK8:CK12 CM8:CM12 CO8:CO12 CQ8:CQ12 CS8:CS12 CU8:CU12 CW8:CW12 CY8:CY12 DA8:DA12">
    <cfRule type="cellIs" priority="4" dxfId="366" operator="equal" stopIfTrue="1">
      <formula>"&gt; 25%"</formula>
    </cfRule>
  </conditionalFormatting>
  <printOptions horizontalCentered="1"/>
  <pageMargins left="0.56" right="0.4" top="0.65" bottom="0.984251969" header="0.43" footer="0.5"/>
  <pageSetup fitToHeight="0" fitToWidth="1" horizontalDpi="600" verticalDpi="600" orientation="landscape" paperSize="9" scale="58" r:id="rId3"/>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2018-06-21T19:41:17Z</cp:lastPrinted>
  <dcterms:created xsi:type="dcterms:W3CDTF">2001-01-18T18:38:40Z</dcterms:created>
  <dcterms:modified xsi:type="dcterms:W3CDTF">2020-02-10T22:53:45Z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4313800.00000000</vt:lpwstr>
  </property>
  <property fmtid="{D5CDD505-2E9C-101B-9397-08002B2CF9AE}" pid="4" name="display_urn:schemas-microsoft-com:office:office#Author">
    <vt:lpwstr>Xuan Che</vt:lpwstr>
  </property>
</Properties>
</file>